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2"/>
  </bookViews>
  <sheets>
    <sheet name="koszty" sheetId="1" r:id="rId1"/>
    <sheet name="co i cw" sheetId="2" r:id="rId2"/>
    <sheet name="Arkusz3" sheetId="3" r:id="rId3"/>
  </sheets>
  <definedNames>
    <definedName name="_xlnm.Print_Area" localSheetId="2">'Arkusz3'!$A$1:$I$182</definedName>
    <definedName name="_xlnm.Print_Area" localSheetId="1">'co i cw'!$A$3:$W$93</definedName>
    <definedName name="_xlnm.Print_Area" localSheetId="0">'koszty'!$B$1:$AH$50</definedName>
  </definedNames>
  <calcPr fullCalcOnLoad="1"/>
</workbook>
</file>

<file path=xl/sharedStrings.xml><?xml version="1.0" encoding="utf-8"?>
<sst xmlns="http://schemas.openxmlformats.org/spreadsheetml/2006/main" count="950" uniqueCount="305">
  <si>
    <t xml:space="preserve"> </t>
  </si>
  <si>
    <t>KOSZTY - SM  /  KFM</t>
  </si>
  <si>
    <t>KFM</t>
  </si>
  <si>
    <t>KFM-1</t>
  </si>
  <si>
    <t>KFM-2</t>
  </si>
  <si>
    <t>użytk.</t>
  </si>
  <si>
    <t>inne</t>
  </si>
  <si>
    <t>zarząd</t>
  </si>
  <si>
    <t>Lp.</t>
  </si>
  <si>
    <t>Nr</t>
  </si>
  <si>
    <t>Treść</t>
  </si>
  <si>
    <t>Nr f-ry</t>
  </si>
  <si>
    <t>Suma</t>
  </si>
  <si>
    <t>Energia</t>
  </si>
  <si>
    <t>podgrzanie</t>
  </si>
  <si>
    <t>Woda</t>
  </si>
  <si>
    <t>Gaz</t>
  </si>
  <si>
    <t xml:space="preserve">Wywóz </t>
  </si>
  <si>
    <t xml:space="preserve">Podatek </t>
  </si>
  <si>
    <t>podatek</t>
  </si>
  <si>
    <t>podzielniki</t>
  </si>
  <si>
    <t>Remonty</t>
  </si>
  <si>
    <t>Koszty</t>
  </si>
  <si>
    <t>Konserw</t>
  </si>
  <si>
    <t xml:space="preserve">Energia </t>
  </si>
  <si>
    <t>Sprzątanie</t>
  </si>
  <si>
    <t>utrzymanie</t>
  </si>
  <si>
    <t xml:space="preserve">Opłaty </t>
  </si>
  <si>
    <t>Ubezpiecz.</t>
  </si>
  <si>
    <t>Podatki</t>
  </si>
  <si>
    <t>Wynagrodz.</t>
  </si>
  <si>
    <t>ZFŚS</t>
  </si>
  <si>
    <t>Narzuty</t>
  </si>
  <si>
    <t>Limit</t>
  </si>
  <si>
    <t xml:space="preserve">część </t>
  </si>
  <si>
    <t>kredyt</t>
  </si>
  <si>
    <t>garaże</t>
  </si>
  <si>
    <t>zlecony</t>
  </si>
  <si>
    <t>cieplna</t>
  </si>
  <si>
    <t>wody</t>
  </si>
  <si>
    <t>nieczyst.</t>
  </si>
  <si>
    <t>dzierżawa</t>
  </si>
  <si>
    <t>1-12</t>
  </si>
  <si>
    <t>13-21</t>
  </si>
  <si>
    <t>22-23</t>
  </si>
  <si>
    <t>eksploatacji</t>
  </si>
  <si>
    <t>Naprawy</t>
  </si>
  <si>
    <t>elektr.</t>
  </si>
  <si>
    <t>terenów</t>
  </si>
  <si>
    <t>bankowe</t>
  </si>
  <si>
    <t>biura</t>
  </si>
  <si>
    <t>na wyn</t>
  </si>
  <si>
    <t>delegacje</t>
  </si>
  <si>
    <t>wspólna</t>
  </si>
  <si>
    <t>saldo na 01-01-2013</t>
  </si>
  <si>
    <t xml:space="preserve">styczeń </t>
  </si>
  <si>
    <t>luty</t>
  </si>
  <si>
    <t>marzec</t>
  </si>
  <si>
    <t xml:space="preserve">kwiecień 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</si>
  <si>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</si>
  <si>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</si>
  <si>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</si>
  <si>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</si>
  <si>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</si>
  <si>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</si>
  <si>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</si>
  <si>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</si>
  <si>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 przychody</t>
  </si>
  <si>
    <t>Przychody 2013</t>
  </si>
  <si>
    <t>Sezon 2013/2014 ul. Holenderska 1-12</t>
  </si>
  <si>
    <t>ZALICZKA</t>
  </si>
  <si>
    <t>Ul. Holenderska 13-23  sezon 2013/2014'</t>
  </si>
  <si>
    <t xml:space="preserve">       zaliczka</t>
  </si>
  <si>
    <t>m-c</t>
  </si>
  <si>
    <t>centralne ogrzewanie</t>
  </si>
  <si>
    <t>STAWKA</t>
  </si>
  <si>
    <t>KWOTA</t>
  </si>
  <si>
    <t>ogółem</t>
  </si>
  <si>
    <t>serwis</t>
  </si>
  <si>
    <t>stała</t>
  </si>
  <si>
    <t xml:space="preserve">zużycie </t>
  </si>
  <si>
    <t>ilość GJ</t>
  </si>
  <si>
    <t>stawka</t>
  </si>
  <si>
    <t>kwota</t>
  </si>
  <si>
    <t>zużycie</t>
  </si>
  <si>
    <t>il GJ</t>
  </si>
  <si>
    <t>VI</t>
  </si>
  <si>
    <t>VII</t>
  </si>
  <si>
    <t>VIII</t>
  </si>
  <si>
    <t>IX</t>
  </si>
  <si>
    <t>X</t>
  </si>
  <si>
    <t>XI</t>
  </si>
  <si>
    <t>XII</t>
  </si>
  <si>
    <t>I</t>
  </si>
  <si>
    <t>II</t>
  </si>
  <si>
    <t>III</t>
  </si>
  <si>
    <t>IV</t>
  </si>
  <si>
    <t>V</t>
  </si>
  <si>
    <t>Razem</t>
  </si>
  <si>
    <t>część wspólna 2%</t>
  </si>
  <si>
    <t>Biuro  0,9%</t>
  </si>
  <si>
    <t>załącznik nr 37  do bliansu za 2013r</t>
  </si>
  <si>
    <t>załącznik nr 38  do bliansu za 2013r</t>
  </si>
  <si>
    <t>ul. Holenderska 1-12</t>
  </si>
  <si>
    <t>suma</t>
  </si>
  <si>
    <t>Ul. Holenderska 13-23</t>
  </si>
  <si>
    <t xml:space="preserve">ilość </t>
  </si>
  <si>
    <t>podgrzanie wody</t>
  </si>
  <si>
    <t>zimnej</t>
  </si>
  <si>
    <t xml:space="preserve">zimnej </t>
  </si>
  <si>
    <t>Ogółem</t>
  </si>
  <si>
    <t>razem</t>
  </si>
  <si>
    <t xml:space="preserve">ilość GJ </t>
  </si>
  <si>
    <t>Ilość m3</t>
  </si>
  <si>
    <t>cena 1m3</t>
  </si>
  <si>
    <t>abonament</t>
  </si>
  <si>
    <t>koszty rozliczenia</t>
  </si>
  <si>
    <t>użytkowe</t>
  </si>
  <si>
    <t>rozliczenie kosztów</t>
  </si>
  <si>
    <t>Kolasiński</t>
  </si>
  <si>
    <t>Ul. Holenderska 13-23  sezon 2012/2013</t>
  </si>
  <si>
    <t>Sezon 2012/2013 ul. Holenderska 1-12</t>
  </si>
  <si>
    <t>Sezon 2011/2012 ul. Holenderska 1-12</t>
  </si>
  <si>
    <t>Ul. Holenderska 13-21</t>
  </si>
  <si>
    <t>zaliczka</t>
  </si>
  <si>
    <t>Ul. Holenderska 13-21 sezon 2010/2011</t>
  </si>
  <si>
    <t>Sezon 2010/2011 ul. Holenderska 1-12</t>
  </si>
  <si>
    <t>Ul. Holenderska 13-21 sezon 2009/2010</t>
  </si>
  <si>
    <t>Sezon 2009/2010 ul. Holenderska 1-12</t>
  </si>
  <si>
    <t>Olszak</t>
  </si>
  <si>
    <t>Biuro  0,6%</t>
  </si>
  <si>
    <t>Lokale usługowe 1,3%</t>
  </si>
  <si>
    <t>ZESTAWIENIE PRZYCHODÓW I KOSZTÓW ZA  ZA 2013 ROK</t>
  </si>
  <si>
    <t>Załącznik nr 1 str  1.</t>
  </si>
  <si>
    <t>Spółdzielnia Mieszkaniowa ZIELONE ŚWIATŁO w Lesznie</t>
  </si>
  <si>
    <t>do Bilansu za 2013 r.</t>
  </si>
  <si>
    <t>Wyszczególnienie</t>
  </si>
  <si>
    <t>Saldo</t>
  </si>
  <si>
    <t>Przychód</t>
  </si>
  <si>
    <t>wynik</t>
  </si>
  <si>
    <t>Koszt</t>
  </si>
  <si>
    <t>01-01-2013</t>
  </si>
  <si>
    <t>jedn.</t>
  </si>
  <si>
    <t>A</t>
  </si>
  <si>
    <t>Centralne ogrzewanie</t>
  </si>
  <si>
    <t>energia  cieplna 1-12</t>
  </si>
  <si>
    <t>rozliczenie sezonu 2012/2013</t>
  </si>
  <si>
    <t>B</t>
  </si>
  <si>
    <t>Podgrzanie wody</t>
  </si>
  <si>
    <t>opłata stała  108 x10x12</t>
  </si>
  <si>
    <t>zużycie                                        m3</t>
  </si>
  <si>
    <t>C</t>
  </si>
  <si>
    <t>Energia cieplna</t>
  </si>
  <si>
    <t>energia  cieplna 13-23</t>
  </si>
  <si>
    <t>Razem rok A+B+C</t>
  </si>
  <si>
    <t>Podzielniki</t>
  </si>
  <si>
    <t xml:space="preserve">Dostawa wody </t>
  </si>
  <si>
    <t>1-12                                          m3</t>
  </si>
  <si>
    <t>13-21                                        m3</t>
  </si>
  <si>
    <t>22-23                                        m3</t>
  </si>
  <si>
    <t>Wywóz nieczystości</t>
  </si>
  <si>
    <t>1-12                                            os</t>
  </si>
  <si>
    <t>13-21                                          os</t>
  </si>
  <si>
    <t>22-23                                          os</t>
  </si>
  <si>
    <t>Dostawa gazu</t>
  </si>
  <si>
    <t>3-4                                              os</t>
  </si>
  <si>
    <t>5-6                                              os</t>
  </si>
  <si>
    <t>podatek od nieruchomości</t>
  </si>
  <si>
    <t>Razem 1+2+3+4+5</t>
  </si>
  <si>
    <t>Eksploatacja</t>
  </si>
  <si>
    <t xml:space="preserve">Holenderska 1 – 12    </t>
  </si>
  <si>
    <t>Holenderska 1 – 12    lokale spółdzielni</t>
  </si>
  <si>
    <t>Holenderska 1 – 12    lokale wyodrębnione</t>
  </si>
  <si>
    <t>Holenderska 13 – 21    lokale spółdzielni</t>
  </si>
  <si>
    <t>przeksięgowanie (inwentaryzacja)</t>
  </si>
  <si>
    <t xml:space="preserve">Holenderska 22, 23    </t>
  </si>
  <si>
    <t>Holenderska 22, 23    lokale spółdzielni</t>
  </si>
  <si>
    <t>Holenderska 22, 23    lokale wyodrębnione</t>
  </si>
  <si>
    <t>Fundusz remontowy</t>
  </si>
  <si>
    <t xml:space="preserve">  1-12            6 756  m2</t>
  </si>
  <si>
    <t>6756 x1 ,00 x 12 m-cy</t>
  </si>
  <si>
    <t>korekta błędu za 2002 r</t>
  </si>
  <si>
    <t>docieplenie bud. Nr 4 (północna)</t>
  </si>
  <si>
    <t xml:space="preserve">instalacja wod kan </t>
  </si>
  <si>
    <t>naprawa drzwi</t>
  </si>
  <si>
    <t>konserwacja daszków balkonów</t>
  </si>
  <si>
    <t>docieplenie stropodachów (ogłoszenie)</t>
  </si>
  <si>
    <t>malowanie balkonów</t>
  </si>
  <si>
    <t>naprawa dachu , uszczelnianie kominów</t>
  </si>
  <si>
    <t>instalacja elektryczna</t>
  </si>
  <si>
    <t>docieplenie nadzór</t>
  </si>
  <si>
    <t>turbowenty</t>
  </si>
  <si>
    <t>opierzenie tarasu</t>
  </si>
  <si>
    <t>czyszczenie kanalizacji</t>
  </si>
  <si>
    <t xml:space="preserve">  13-21         3 278,6 m</t>
  </si>
  <si>
    <t>3278,6 x  0,50  x 12 m-cy</t>
  </si>
  <si>
    <t>naprawa węzłów</t>
  </si>
  <si>
    <t>naprawy rynien</t>
  </si>
  <si>
    <t>naprawy instalacji elektrycznej</t>
  </si>
  <si>
    <t>naprawy drzwi</t>
  </si>
  <si>
    <t>malowanie klatek</t>
  </si>
  <si>
    <t>naprawa anteny</t>
  </si>
  <si>
    <t xml:space="preserve">  22-23           622,8 m</t>
  </si>
  <si>
    <t>622,8 x 0,30 x 12 m-cy</t>
  </si>
  <si>
    <t>Przychody pozostałe</t>
  </si>
  <si>
    <t>opłaty za garaże</t>
  </si>
  <si>
    <t>prąd w garażach</t>
  </si>
  <si>
    <t>podatki,dzierżawa</t>
  </si>
  <si>
    <t>sprzątanie</t>
  </si>
  <si>
    <t>koszty ogólne zarządu</t>
  </si>
  <si>
    <t>koszty pośrednie</t>
  </si>
  <si>
    <t>lokale użytkowe</t>
  </si>
  <si>
    <t>Podatki , opłaty</t>
  </si>
  <si>
    <t>ogrzewanie</t>
  </si>
  <si>
    <t>opłata za prąd do internetu</t>
  </si>
  <si>
    <t>Zarząd zlecony</t>
  </si>
  <si>
    <t>W-1 ul. Niepodległości 118-130</t>
  </si>
  <si>
    <t>W-2 ul. Grunwaldzka  1-9</t>
  </si>
  <si>
    <t>W-3 ul. 17 Stycznia 26-32</t>
  </si>
  <si>
    <t>W-4 ul. Włodarczaka  12-16</t>
  </si>
  <si>
    <t>W-5 ul. Ułańska 2-8</t>
  </si>
  <si>
    <t>W-6 ul. Grunwaldzka 45-57</t>
  </si>
  <si>
    <t>W-7ul. B.Jeziorkowskiej 12-22</t>
  </si>
  <si>
    <t>W-8 ul. Wyszyńskiego 44</t>
  </si>
  <si>
    <t>W-9 ul. Święciechowska 12-16</t>
  </si>
  <si>
    <t>w-10 ul. Berwińskich 7-9</t>
  </si>
  <si>
    <t>w-11 ul. Frankiewicza 1,2,3</t>
  </si>
  <si>
    <t>w-12 ul. 17 Stycznia 29</t>
  </si>
  <si>
    <t>w-13 ul. Wojska Polskiego 1-3</t>
  </si>
  <si>
    <t>w-14 ul. Niepodległości 92-98</t>
  </si>
  <si>
    <t>W-15 ul. Kiepury 35-41</t>
  </si>
  <si>
    <t>W-16 ul. Holenderska 30-34</t>
  </si>
  <si>
    <t>W-17 ul. Por. Leona Włodarczaka 6,8,10</t>
  </si>
  <si>
    <t xml:space="preserve">wynagrodzenia </t>
  </si>
  <si>
    <t>narzuty na wynagrodzenia</t>
  </si>
  <si>
    <t>program do obsługi wspólnot</t>
  </si>
  <si>
    <t>materiały biurowe</t>
  </si>
  <si>
    <t>Pozostałe przychody i koszty</t>
  </si>
  <si>
    <t>Zysk do podziału za 2011</t>
  </si>
  <si>
    <t>odsetki bankowe</t>
  </si>
  <si>
    <t>Odsetki za zaległości</t>
  </si>
  <si>
    <t>Koszty Rady Nadzorczej</t>
  </si>
  <si>
    <t xml:space="preserve">Pozostałe koszty  </t>
  </si>
  <si>
    <t>zakup pucharów na festyn</t>
  </si>
  <si>
    <t>spotkanie świąteczne</t>
  </si>
  <si>
    <t>ogółem rok</t>
  </si>
  <si>
    <t>w tym:</t>
  </si>
  <si>
    <t>Przychody do opodatkowaia</t>
  </si>
  <si>
    <t>Koszty R  N z zysku za 2013</t>
  </si>
  <si>
    <t>Pozostałe koszty</t>
  </si>
  <si>
    <t>nadwyżka przychodów nad kosztami</t>
  </si>
  <si>
    <t>rozliczenia międzyokresowe (podzielniki)</t>
  </si>
  <si>
    <t>nadwyżka kosztów nad przychodami</t>
  </si>
  <si>
    <t>Podatek dochodowy</t>
  </si>
  <si>
    <t>Spłata kredytów</t>
  </si>
  <si>
    <t>Kredyt PKO normatyw</t>
  </si>
  <si>
    <t>KFM – 1</t>
  </si>
  <si>
    <t>przeksięgowanie</t>
  </si>
  <si>
    <t>Wynik netto</t>
  </si>
  <si>
    <t>dochód do opodatkowania</t>
  </si>
  <si>
    <t>podstawa naliczenia podatku</t>
  </si>
  <si>
    <t>Załącznik nr 1 str  3.</t>
  </si>
  <si>
    <t>do Bilansu za 2013r.</t>
  </si>
  <si>
    <t>ZESTAWIENIE PRZYCHODÓW I KOSZTÓW ZA  ZA 2012 ROK</t>
  </si>
  <si>
    <t>do Bilansu za 2012 r.</t>
  </si>
  <si>
    <t>01-01-2012</t>
  </si>
  <si>
    <t>rozliczenie sezonu 2011/2012</t>
  </si>
  <si>
    <t>Razem rok</t>
  </si>
  <si>
    <t>1-12                                           m3</t>
  </si>
  <si>
    <t>13-21                                         m3</t>
  </si>
  <si>
    <t xml:space="preserve"> 1 – 12</t>
  </si>
  <si>
    <t>wyodrębnione</t>
  </si>
  <si>
    <t>13-21                                         m2</t>
  </si>
  <si>
    <t xml:space="preserve"> 22-23                                        m2</t>
  </si>
  <si>
    <t>1-12            6 756  m2</t>
  </si>
  <si>
    <t>6756 x ,9 x 12</t>
  </si>
  <si>
    <t>ubezpieczenie</t>
  </si>
  <si>
    <t>docieplenie bud. Nr 2 (wschodnia)</t>
  </si>
  <si>
    <t>docieplenie bud Nr 3 (wschodnia)</t>
  </si>
  <si>
    <t>naprawa  sciany po  pożarze</t>
  </si>
  <si>
    <t>Naprawy instalacji wod kan</t>
  </si>
  <si>
    <t>przeglądy</t>
  </si>
  <si>
    <t>naprawa balkonów</t>
  </si>
  <si>
    <t>Malowanie ściany</t>
  </si>
  <si>
    <t>opaska bud 1- i 2</t>
  </si>
  <si>
    <t>13-21         3 278,6 m</t>
  </si>
  <si>
    <t xml:space="preserve">3278,6 x  0,50 x12 </t>
  </si>
  <si>
    <t>domofony</t>
  </si>
  <si>
    <t>uszczelnianie dachu i balkonów</t>
  </si>
  <si>
    <t>wodomierze, zawory</t>
  </si>
  <si>
    <t>próg zwalniający</t>
  </si>
  <si>
    <t>miejsca postojowe</t>
  </si>
  <si>
    <t>22-23           622,8 m</t>
  </si>
  <si>
    <t>malowanie</t>
  </si>
  <si>
    <t>drobne naprawy</t>
  </si>
  <si>
    <t>W-16 ul. Holenderska 30-33</t>
  </si>
  <si>
    <t xml:space="preserve">Pozostałe przychody </t>
  </si>
  <si>
    <t>Dochody do opodatkowaia</t>
  </si>
  <si>
    <t>Koszty R  N z zysku za 2012</t>
  </si>
  <si>
    <t>rozliczenia międzyokresowe(podzielniki)</t>
  </si>
  <si>
    <t>Kredyt PKO spłata jednorazowa</t>
  </si>
  <si>
    <t>zaległość lokali usługowych na 31-12-2012</t>
  </si>
  <si>
    <t>zaległość lokali usługowych na 31-12-2011</t>
  </si>
  <si>
    <t>zus i podatek za XII</t>
  </si>
  <si>
    <t>do Bilansu za 2012r.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</si>
</sst>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#,##0.00"/>
    <numFmt numFmtId="167" formatCode="#,###.00"/>
    <numFmt numFmtId="168" formatCode="0.00"/>
    <numFmt numFmtId="169" formatCode="0.0%"/>
    <numFmt numFmtId="170" formatCode="#,##0.0"/>
    <numFmt numFmtId="171" formatCode="D/MM/YYYY"/>
    <numFmt numFmtId="172" formatCode="0.0"/>
    <numFmt numFmtId="173" formatCode="#,###.0"/>
  </numFmts>
  <fonts count="14">
    <font>
      <sz val="10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sz val="10"/>
      <name val="Arial CE"/>
      <family val="2"/>
    </font>
    <font>
      <sz val="10"/>
      <color indexed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7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4" fillId="0" borderId="0" xfId="0" applyFont="1" applyAlignment="1">
      <alignment/>
    </xf>
    <xf numFmtId="166" fontId="4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 horizontal="left"/>
    </xf>
    <xf numFmtId="166" fontId="5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0" xfId="0" applyNumberFormat="1" applyFont="1" applyFill="1" applyAlignment="1">
      <alignment/>
    </xf>
    <xf numFmtId="165" fontId="2" fillId="0" borderId="0" xfId="0" applyNumberFormat="1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7" fillId="0" borderId="0" xfId="0" applyFont="1" applyAlignment="1">
      <alignment/>
    </xf>
    <xf numFmtId="166" fontId="0" fillId="0" borderId="0" xfId="0" applyNumberFormat="1" applyAlignment="1">
      <alignment/>
    </xf>
    <xf numFmtId="167" fontId="1" fillId="0" borderId="0" xfId="0" applyNumberFormat="1" applyFont="1" applyAlignment="1">
      <alignment horizontal="right"/>
    </xf>
    <xf numFmtId="168" fontId="1" fillId="0" borderId="0" xfId="0" applyNumberFormat="1" applyFont="1" applyAlignment="1">
      <alignment horizontal="right"/>
    </xf>
    <xf numFmtId="164" fontId="0" fillId="0" borderId="1" xfId="0" applyBorder="1" applyAlignment="1">
      <alignment horizontal="center"/>
    </xf>
    <xf numFmtId="164" fontId="8" fillId="0" borderId="2" xfId="0" applyFont="1" applyBorder="1" applyAlignment="1">
      <alignment/>
    </xf>
    <xf numFmtId="164" fontId="8" fillId="0" borderId="1" xfId="0" applyFont="1" applyBorder="1" applyAlignment="1">
      <alignment/>
    </xf>
    <xf numFmtId="164" fontId="0" fillId="0" borderId="3" xfId="0" applyBorder="1" applyAlignment="1">
      <alignment/>
    </xf>
    <xf numFmtId="164" fontId="8" fillId="0" borderId="4" xfId="0" applyFont="1" applyBorder="1" applyAlignment="1">
      <alignment/>
    </xf>
    <xf numFmtId="164" fontId="0" fillId="0" borderId="5" xfId="0" applyBorder="1" applyAlignment="1">
      <alignment/>
    </xf>
    <xf numFmtId="164" fontId="8" fillId="0" borderId="6" xfId="0" applyFont="1" applyBorder="1" applyAlignment="1">
      <alignment horizontal="center"/>
    </xf>
    <xf numFmtId="164" fontId="0" fillId="0" borderId="7" xfId="0" applyBorder="1" applyAlignment="1">
      <alignment horizontal="center"/>
    </xf>
    <xf numFmtId="164" fontId="8" fillId="0" borderId="8" xfId="0" applyFont="1" applyBorder="1" applyAlignment="1">
      <alignment/>
    </xf>
    <xf numFmtId="164" fontId="1" fillId="0" borderId="7" xfId="0" applyFont="1" applyBorder="1" applyAlignment="1">
      <alignment/>
    </xf>
    <xf numFmtId="164" fontId="8" fillId="0" borderId="6" xfId="0" applyFont="1" applyBorder="1" applyAlignment="1">
      <alignment/>
    </xf>
    <xf numFmtId="164" fontId="8" fillId="0" borderId="9" xfId="0" applyFont="1" applyFill="1" applyBorder="1" applyAlignment="1">
      <alignment/>
    </xf>
    <xf numFmtId="164" fontId="8" fillId="0" borderId="10" xfId="0" applyFont="1" applyFill="1" applyBorder="1" applyAlignment="1">
      <alignment/>
    </xf>
    <xf numFmtId="164" fontId="8" fillId="0" borderId="11" xfId="0" applyFont="1" applyFill="1" applyBorder="1" applyAlignment="1">
      <alignment/>
    </xf>
    <xf numFmtId="164" fontId="8" fillId="0" borderId="12" xfId="0" applyFont="1" applyFill="1" applyBorder="1" applyAlignment="1">
      <alignment/>
    </xf>
    <xf numFmtId="164" fontId="0" fillId="0" borderId="13" xfId="0" applyBorder="1" applyAlignment="1">
      <alignment/>
    </xf>
    <xf numFmtId="164" fontId="8" fillId="0" borderId="14" xfId="0" applyFont="1" applyBorder="1" applyAlignment="1">
      <alignment horizontal="center"/>
    </xf>
    <xf numFmtId="164" fontId="8" fillId="0" borderId="15" xfId="0" applyFont="1" applyBorder="1" applyAlignment="1">
      <alignment/>
    </xf>
    <xf numFmtId="164" fontId="8" fillId="0" borderId="10" xfId="0" applyFont="1" applyBorder="1" applyAlignment="1">
      <alignment/>
    </xf>
    <xf numFmtId="164" fontId="0" fillId="0" borderId="14" xfId="0" applyBorder="1" applyAlignment="1">
      <alignment/>
    </xf>
    <xf numFmtId="164" fontId="8" fillId="0" borderId="16" xfId="0" applyFont="1" applyBorder="1" applyAlignment="1">
      <alignment/>
    </xf>
    <xf numFmtId="166" fontId="8" fillId="0" borderId="14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166" fontId="8" fillId="0" borderId="17" xfId="0" applyNumberFormat="1" applyFont="1" applyBorder="1" applyAlignment="1">
      <alignment/>
    </xf>
    <xf numFmtId="167" fontId="8" fillId="0" borderId="15" xfId="0" applyNumberFormat="1" applyFont="1" applyBorder="1" applyAlignment="1">
      <alignment/>
    </xf>
    <xf numFmtId="166" fontId="0" fillId="0" borderId="15" xfId="0" applyNumberFormat="1" applyBorder="1" applyAlignment="1">
      <alignment/>
    </xf>
    <xf numFmtId="164" fontId="8" fillId="0" borderId="16" xfId="0" applyFont="1" applyBorder="1" applyAlignment="1">
      <alignment horizontal="center"/>
    </xf>
    <xf numFmtId="164" fontId="8" fillId="0" borderId="17" xfId="0" applyFont="1" applyBorder="1" applyAlignment="1">
      <alignment horizontal="center"/>
    </xf>
    <xf numFmtId="166" fontId="0" fillId="0" borderId="17" xfId="0" applyNumberFormat="1" applyBorder="1" applyAlignment="1">
      <alignment/>
    </xf>
    <xf numFmtId="166" fontId="8" fillId="0" borderId="18" xfId="0" applyNumberFormat="1" applyFont="1" applyBorder="1" applyAlignment="1">
      <alignment/>
    </xf>
    <xf numFmtId="166" fontId="0" fillId="0" borderId="19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8" fillId="0" borderId="20" xfId="0" applyNumberFormat="1" applyFon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8" fillId="0" borderId="0" xfId="0" applyNumberFormat="1" applyFont="1" applyAlignment="1">
      <alignment/>
    </xf>
    <xf numFmtId="164" fontId="8" fillId="0" borderId="18" xfId="0" applyFont="1" applyBorder="1" applyAlignment="1">
      <alignment horizontal="center"/>
    </xf>
    <xf numFmtId="166" fontId="8" fillId="0" borderId="0" xfId="0" applyNumberFormat="1" applyFont="1" applyBorder="1" applyAlignment="1">
      <alignment/>
    </xf>
    <xf numFmtId="166" fontId="8" fillId="0" borderId="7" xfId="0" applyNumberFormat="1" applyFont="1" applyBorder="1" applyAlignment="1">
      <alignment/>
    </xf>
    <xf numFmtId="166" fontId="8" fillId="0" borderId="4" xfId="0" applyNumberFormat="1" applyFont="1" applyBorder="1" applyAlignment="1">
      <alignment/>
    </xf>
    <xf numFmtId="166" fontId="8" fillId="0" borderId="4" xfId="0" applyNumberFormat="1" applyFont="1" applyFill="1" applyBorder="1" applyAlignment="1">
      <alignment/>
    </xf>
    <xf numFmtId="164" fontId="8" fillId="0" borderId="6" xfId="0" applyFont="1" applyFill="1" applyBorder="1" applyAlignment="1">
      <alignment horizontal="center"/>
    </xf>
    <xf numFmtId="166" fontId="8" fillId="0" borderId="21" xfId="0" applyNumberFormat="1" applyFont="1" applyBorder="1" applyAlignment="1">
      <alignment/>
    </xf>
    <xf numFmtId="166" fontId="8" fillId="0" borderId="17" xfId="0" applyNumberFormat="1" applyFont="1" applyFill="1" applyBorder="1" applyAlignment="1">
      <alignment/>
    </xf>
    <xf numFmtId="164" fontId="8" fillId="0" borderId="18" xfId="0" applyFont="1" applyFill="1" applyBorder="1" applyAlignment="1">
      <alignment horizontal="center"/>
    </xf>
    <xf numFmtId="166" fontId="8" fillId="2" borderId="17" xfId="0" applyNumberFormat="1" applyFont="1" applyFill="1" applyBorder="1" applyAlignment="1">
      <alignment/>
    </xf>
    <xf numFmtId="166" fontId="9" fillId="0" borderId="21" xfId="0" applyNumberFormat="1" applyFont="1" applyBorder="1" applyAlignment="1">
      <alignment/>
    </xf>
    <xf numFmtId="164" fontId="1" fillId="0" borderId="4" xfId="0" applyFont="1" applyBorder="1" applyAlignment="1">
      <alignment horizontal="center"/>
    </xf>
    <xf numFmtId="166" fontId="1" fillId="0" borderId="4" xfId="0" applyNumberFormat="1" applyFont="1" applyBorder="1" applyAlignment="1">
      <alignment/>
    </xf>
    <xf numFmtId="166" fontId="0" fillId="0" borderId="22" xfId="0" applyNumberFormat="1" applyBorder="1" applyAlignment="1">
      <alignment/>
    </xf>
    <xf numFmtId="166" fontId="0" fillId="0" borderId="23" xfId="0" applyNumberFormat="1" applyBorder="1" applyAlignment="1">
      <alignment/>
    </xf>
    <xf numFmtId="166" fontId="0" fillId="0" borderId="24" xfId="0" applyNumberFormat="1" applyBorder="1" applyAlignment="1">
      <alignment/>
    </xf>
    <xf numFmtId="164" fontId="0" fillId="0" borderId="22" xfId="0" applyBorder="1" applyAlignment="1">
      <alignment/>
    </xf>
    <xf numFmtId="168" fontId="0" fillId="0" borderId="2" xfId="0" applyNumberFormat="1" applyBorder="1" applyAlignment="1">
      <alignment/>
    </xf>
    <xf numFmtId="164" fontId="8" fillId="0" borderId="0" xfId="0" applyFont="1" applyBorder="1" applyAlignment="1">
      <alignment/>
    </xf>
    <xf numFmtId="167" fontId="8" fillId="0" borderId="0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64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8" fontId="10" fillId="0" borderId="0" xfId="0" applyNumberFormat="1" applyFont="1" applyAlignment="1">
      <alignment/>
    </xf>
    <xf numFmtId="164" fontId="8" fillId="0" borderId="25" xfId="0" applyFont="1" applyBorder="1" applyAlignment="1">
      <alignment/>
    </xf>
    <xf numFmtId="164" fontId="8" fillId="0" borderId="18" xfId="0" applyFont="1" applyBorder="1" applyAlignment="1">
      <alignment/>
    </xf>
    <xf numFmtId="164" fontId="0" fillId="0" borderId="7" xfId="0" applyBorder="1" applyAlignment="1">
      <alignment/>
    </xf>
    <xf numFmtId="164" fontId="8" fillId="0" borderId="12" xfId="0" applyFont="1" applyBorder="1" applyAlignment="1">
      <alignment/>
    </xf>
    <xf numFmtId="164" fontId="8" fillId="0" borderId="11" xfId="0" applyFont="1" applyBorder="1" applyAlignment="1">
      <alignment/>
    </xf>
    <xf numFmtId="164" fontId="8" fillId="0" borderId="14" xfId="0" applyFont="1" applyFill="1" applyBorder="1" applyAlignment="1">
      <alignment/>
    </xf>
    <xf numFmtId="164" fontId="5" fillId="0" borderId="15" xfId="0" applyFont="1" applyFill="1" applyBorder="1" applyAlignment="1">
      <alignment/>
    </xf>
    <xf numFmtId="164" fontId="8" fillId="0" borderId="15" xfId="0" applyFont="1" applyFill="1" applyBorder="1" applyAlignment="1">
      <alignment/>
    </xf>
    <xf numFmtId="164" fontId="8" fillId="0" borderId="16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8" fillId="0" borderId="4" xfId="0" applyFont="1" applyBorder="1" applyAlignment="1">
      <alignment horizontal="center"/>
    </xf>
    <xf numFmtId="166" fontId="8" fillId="0" borderId="6" xfId="0" applyNumberFormat="1" applyFont="1" applyBorder="1" applyAlignment="1">
      <alignment/>
    </xf>
    <xf numFmtId="164" fontId="0" fillId="0" borderId="17" xfId="0" applyBorder="1" applyAlignment="1">
      <alignment/>
    </xf>
    <xf numFmtId="164" fontId="8" fillId="0" borderId="6" xfId="0" applyNumberFormat="1" applyFont="1" applyBorder="1" applyAlignment="1">
      <alignment/>
    </xf>
    <xf numFmtId="164" fontId="0" fillId="0" borderId="26" xfId="0" applyNumberFormat="1" applyBorder="1" applyAlignment="1">
      <alignment/>
    </xf>
    <xf numFmtId="166" fontId="8" fillId="0" borderId="26" xfId="0" applyNumberFormat="1" applyFont="1" applyFill="1" applyBorder="1" applyAlignment="1">
      <alignment/>
    </xf>
    <xf numFmtId="164" fontId="8" fillId="0" borderId="18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7" xfId="0" applyFill="1" applyBorder="1" applyAlignment="1">
      <alignment/>
    </xf>
    <xf numFmtId="164" fontId="8" fillId="0" borderId="17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24" xfId="0" applyNumberFormat="1" applyBorder="1" applyAlignment="1">
      <alignment/>
    </xf>
    <xf numFmtId="166" fontId="8" fillId="0" borderId="2" xfId="0" applyNumberFormat="1" applyFont="1" applyBorder="1" applyAlignment="1">
      <alignment/>
    </xf>
    <xf numFmtId="164" fontId="8" fillId="0" borderId="0" xfId="0" applyFont="1" applyFill="1" applyBorder="1" applyAlignment="1">
      <alignment horizontal="left"/>
    </xf>
    <xf numFmtId="166" fontId="1" fillId="0" borderId="0" xfId="0" applyNumberFormat="1" applyFont="1" applyBorder="1" applyAlignment="1">
      <alignment/>
    </xf>
    <xf numFmtId="166" fontId="8" fillId="0" borderId="5" xfId="0" applyNumberFormat="1" applyFont="1" applyBorder="1" applyAlignment="1">
      <alignment/>
    </xf>
    <xf numFmtId="164" fontId="8" fillId="0" borderId="4" xfId="0" applyNumberFormat="1" applyFont="1" applyBorder="1" applyAlignment="1">
      <alignment/>
    </xf>
    <xf numFmtId="167" fontId="8" fillId="0" borderId="16" xfId="0" applyNumberFormat="1" applyFont="1" applyBorder="1" applyAlignment="1">
      <alignment/>
    </xf>
    <xf numFmtId="166" fontId="0" fillId="0" borderId="16" xfId="0" applyNumberFormat="1" applyBorder="1" applyAlignment="1">
      <alignment/>
    </xf>
    <xf numFmtId="164" fontId="8" fillId="0" borderId="13" xfId="0" applyFont="1" applyBorder="1" applyAlignment="1">
      <alignment horizontal="center"/>
    </xf>
    <xf numFmtId="166" fontId="8" fillId="0" borderId="0" xfId="0" applyNumberFormat="1" applyFont="1" applyFill="1" applyAlignment="1">
      <alignment/>
    </xf>
    <xf numFmtId="166" fontId="8" fillId="0" borderId="0" xfId="0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166" fontId="8" fillId="3" borderId="17" xfId="0" applyNumberFormat="1" applyFont="1" applyFill="1" applyBorder="1" applyAlignment="1">
      <alignment/>
    </xf>
    <xf numFmtId="167" fontId="8" fillId="0" borderId="2" xfId="0" applyNumberFormat="1" applyFont="1" applyBorder="1" applyAlignment="1">
      <alignment/>
    </xf>
    <xf numFmtId="167" fontId="0" fillId="0" borderId="0" xfId="0" applyNumberFormat="1" applyAlignment="1">
      <alignment/>
    </xf>
    <xf numFmtId="164" fontId="10" fillId="0" borderId="0" xfId="0" applyFont="1" applyAlignment="1">
      <alignment/>
    </xf>
    <xf numFmtId="164" fontId="11" fillId="0" borderId="0" xfId="0" applyFont="1" applyFill="1" applyBorder="1" applyAlignment="1">
      <alignment horizontal="left"/>
    </xf>
    <xf numFmtId="164" fontId="8" fillId="0" borderId="0" xfId="0" applyFont="1" applyAlignment="1">
      <alignment/>
    </xf>
    <xf numFmtId="164" fontId="8" fillId="0" borderId="27" xfId="0" applyFont="1" applyBorder="1" applyAlignment="1">
      <alignment horizontal="center"/>
    </xf>
    <xf numFmtId="164" fontId="8" fillId="0" borderId="28" xfId="0" applyFont="1" applyBorder="1" applyAlignment="1">
      <alignment/>
    </xf>
    <xf numFmtId="164" fontId="8" fillId="0" borderId="29" xfId="0" applyFont="1" applyBorder="1" applyAlignment="1">
      <alignment/>
    </xf>
    <xf numFmtId="164" fontId="8" fillId="0" borderId="30" xfId="0" applyFont="1" applyBorder="1" applyAlignment="1">
      <alignment horizontal="center"/>
    </xf>
    <xf numFmtId="164" fontId="8" fillId="0" borderId="31" xfId="0" applyFont="1" applyBorder="1" applyAlignment="1">
      <alignment/>
    </xf>
    <xf numFmtId="164" fontId="8" fillId="0" borderId="31" xfId="0" applyFont="1" applyBorder="1" applyAlignment="1">
      <alignment horizontal="center"/>
    </xf>
    <xf numFmtId="164" fontId="8" fillId="0" borderId="32" xfId="0" applyFont="1" applyBorder="1" applyAlignment="1">
      <alignment/>
    </xf>
    <xf numFmtId="164" fontId="8" fillId="0" borderId="32" xfId="0" applyFont="1" applyBorder="1" applyAlignment="1">
      <alignment horizontal="center"/>
    </xf>
    <xf numFmtId="164" fontId="8" fillId="0" borderId="33" xfId="0" applyFont="1" applyBorder="1" applyAlignment="1">
      <alignment horizontal="center"/>
    </xf>
    <xf numFmtId="164" fontId="8" fillId="0" borderId="34" xfId="0" applyFont="1" applyBorder="1" applyAlignment="1">
      <alignment/>
    </xf>
    <xf numFmtId="166" fontId="8" fillId="0" borderId="34" xfId="0" applyNumberFormat="1" applyFont="1" applyBorder="1" applyAlignment="1">
      <alignment horizontal="right"/>
    </xf>
    <xf numFmtId="164" fontId="5" fillId="0" borderId="35" xfId="0" applyFont="1" applyBorder="1" applyAlignment="1">
      <alignment/>
    </xf>
    <xf numFmtId="164" fontId="8" fillId="0" borderId="36" xfId="0" applyFont="1" applyBorder="1" applyAlignment="1">
      <alignment horizontal="center"/>
    </xf>
    <xf numFmtId="164" fontId="1" fillId="0" borderId="37" xfId="0" applyFont="1" applyBorder="1" applyAlignment="1">
      <alignment/>
    </xf>
    <xf numFmtId="164" fontId="1" fillId="0" borderId="38" xfId="0" applyFont="1" applyBorder="1" applyAlignment="1">
      <alignment/>
    </xf>
    <xf numFmtId="166" fontId="1" fillId="0" borderId="37" xfId="0" applyNumberFormat="1" applyFont="1" applyBorder="1" applyAlignment="1">
      <alignment/>
    </xf>
    <xf numFmtId="166" fontId="1" fillId="0" borderId="39" xfId="0" applyNumberFormat="1" applyFont="1" applyBorder="1" applyAlignment="1">
      <alignment/>
    </xf>
    <xf numFmtId="164" fontId="8" fillId="0" borderId="40" xfId="0" applyFont="1" applyBorder="1" applyAlignment="1">
      <alignment horizontal="center"/>
    </xf>
    <xf numFmtId="164" fontId="1" fillId="0" borderId="41" xfId="0" applyFont="1" applyBorder="1" applyAlignment="1">
      <alignment/>
    </xf>
    <xf numFmtId="164" fontId="1" fillId="0" borderId="42" xfId="0" applyFont="1" applyBorder="1" applyAlignment="1">
      <alignment/>
    </xf>
    <xf numFmtId="166" fontId="1" fillId="0" borderId="41" xfId="0" applyNumberFormat="1" applyFont="1" applyBorder="1" applyAlignment="1">
      <alignment/>
    </xf>
    <xf numFmtId="166" fontId="1" fillId="0" borderId="43" xfId="0" applyNumberFormat="1" applyFont="1" applyBorder="1" applyAlignment="1">
      <alignment/>
    </xf>
    <xf numFmtId="164" fontId="8" fillId="0" borderId="44" xfId="0" applyFont="1" applyBorder="1" applyAlignment="1">
      <alignment/>
    </xf>
    <xf numFmtId="166" fontId="8" fillId="0" borderId="34" xfId="0" applyNumberFormat="1" applyFont="1" applyBorder="1" applyAlignment="1">
      <alignment/>
    </xf>
    <xf numFmtId="166" fontId="8" fillId="0" borderId="35" xfId="0" applyNumberFormat="1" applyFont="1" applyBorder="1" applyAlignment="1">
      <alignment/>
    </xf>
    <xf numFmtId="164" fontId="8" fillId="0" borderId="45" xfId="0" applyFont="1" applyBorder="1" applyAlignment="1">
      <alignment horizontal="center"/>
    </xf>
    <xf numFmtId="164" fontId="1" fillId="0" borderId="46" xfId="0" applyFont="1" applyBorder="1" applyAlignment="1">
      <alignment/>
    </xf>
    <xf numFmtId="164" fontId="1" fillId="0" borderId="47" xfId="0" applyFont="1" applyBorder="1" applyAlignment="1">
      <alignment horizontal="center"/>
    </xf>
    <xf numFmtId="166" fontId="1" fillId="0" borderId="46" xfId="0" applyNumberFormat="1" applyFont="1" applyBorder="1" applyAlignment="1">
      <alignment/>
    </xf>
    <xf numFmtId="166" fontId="1" fillId="0" borderId="48" xfId="0" applyNumberFormat="1" applyFont="1" applyBorder="1" applyAlignment="1">
      <alignment/>
    </xf>
    <xf numFmtId="164" fontId="8" fillId="0" borderId="49" xfId="0" applyFont="1" applyBorder="1" applyAlignment="1">
      <alignment horizontal="center"/>
    </xf>
    <xf numFmtId="164" fontId="8" fillId="0" borderId="41" xfId="0" applyFont="1" applyBorder="1" applyAlignment="1">
      <alignment/>
    </xf>
    <xf numFmtId="166" fontId="10" fillId="0" borderId="41" xfId="0" applyNumberFormat="1" applyFont="1" applyBorder="1" applyAlignment="1">
      <alignment/>
    </xf>
    <xf numFmtId="166" fontId="8" fillId="0" borderId="43" xfId="0" applyNumberFormat="1" applyFont="1" applyBorder="1" applyAlignment="1">
      <alignment/>
    </xf>
    <xf numFmtId="164" fontId="8" fillId="0" borderId="44" xfId="0" applyFont="1" applyBorder="1" applyAlignment="1">
      <alignment horizontal="center"/>
    </xf>
    <xf numFmtId="166" fontId="1" fillId="0" borderId="34" xfId="0" applyNumberFormat="1" applyFont="1" applyBorder="1" applyAlignment="1">
      <alignment/>
    </xf>
    <xf numFmtId="164" fontId="8" fillId="0" borderId="50" xfId="0" applyFont="1" applyBorder="1" applyAlignment="1">
      <alignment horizontal="center"/>
    </xf>
    <xf numFmtId="164" fontId="8" fillId="0" borderId="51" xfId="0" applyFont="1" applyBorder="1" applyAlignment="1">
      <alignment horizontal="center"/>
    </xf>
    <xf numFmtId="166" fontId="8" fillId="0" borderId="31" xfId="0" applyNumberFormat="1" applyFont="1" applyBorder="1" applyAlignment="1">
      <alignment/>
    </xf>
    <xf numFmtId="166" fontId="8" fillId="0" borderId="32" xfId="0" applyNumberFormat="1" applyFont="1" applyBorder="1" applyAlignment="1">
      <alignment/>
    </xf>
    <xf numFmtId="164" fontId="8" fillId="0" borderId="52" xfId="0" applyFont="1" applyBorder="1" applyAlignment="1">
      <alignment horizontal="center"/>
    </xf>
    <xf numFmtId="164" fontId="8" fillId="0" borderId="17" xfId="0" applyFont="1" applyBorder="1" applyAlignment="1">
      <alignment/>
    </xf>
    <xf numFmtId="164" fontId="8" fillId="0" borderId="26" xfId="0" applyFont="1" applyBorder="1" applyAlignment="1">
      <alignment horizontal="center"/>
    </xf>
    <xf numFmtId="164" fontId="8" fillId="0" borderId="53" xfId="0" applyFont="1" applyBorder="1" applyAlignment="1">
      <alignment horizontal="center"/>
    </xf>
    <xf numFmtId="164" fontId="1" fillId="0" borderId="54" xfId="0" applyFont="1" applyBorder="1" applyAlignment="1">
      <alignment/>
    </xf>
    <xf numFmtId="164" fontId="1" fillId="0" borderId="54" xfId="0" applyFont="1" applyBorder="1" applyAlignment="1">
      <alignment horizontal="center"/>
    </xf>
    <xf numFmtId="166" fontId="1" fillId="0" borderId="54" xfId="0" applyNumberFormat="1" applyFont="1" applyBorder="1" applyAlignment="1">
      <alignment/>
    </xf>
    <xf numFmtId="166" fontId="1" fillId="0" borderId="55" xfId="0" applyNumberFormat="1" applyFont="1" applyBorder="1" applyAlignment="1">
      <alignment/>
    </xf>
    <xf numFmtId="165" fontId="1" fillId="0" borderId="41" xfId="0" applyNumberFormat="1" applyFont="1" applyBorder="1" applyAlignment="1">
      <alignment/>
    </xf>
    <xf numFmtId="164" fontId="1" fillId="0" borderId="41" xfId="0" applyFont="1" applyBorder="1" applyAlignment="1">
      <alignment horizontal="center"/>
    </xf>
    <xf numFmtId="166" fontId="1" fillId="0" borderId="56" xfId="0" applyNumberFormat="1" applyFont="1" applyBorder="1" applyAlignment="1">
      <alignment/>
    </xf>
    <xf numFmtId="164" fontId="8" fillId="0" borderId="57" xfId="0" applyFont="1" applyBorder="1" applyAlignment="1">
      <alignment horizontal="center"/>
    </xf>
    <xf numFmtId="164" fontId="8" fillId="0" borderId="58" xfId="0" applyFont="1" applyBorder="1" applyAlignment="1">
      <alignment/>
    </xf>
    <xf numFmtId="164" fontId="8" fillId="0" borderId="58" xfId="0" applyFont="1" applyBorder="1" applyAlignment="1">
      <alignment horizontal="center"/>
    </xf>
    <xf numFmtId="166" fontId="10" fillId="0" borderId="58" xfId="0" applyNumberFormat="1" applyFont="1" applyBorder="1" applyAlignment="1">
      <alignment/>
    </xf>
    <xf numFmtId="166" fontId="8" fillId="0" borderId="59" xfId="0" applyNumberFormat="1" applyFont="1" applyBorder="1" applyAlignment="1">
      <alignment/>
    </xf>
    <xf numFmtId="165" fontId="1" fillId="0" borderId="54" xfId="0" applyNumberFormat="1" applyFont="1" applyBorder="1" applyAlignment="1">
      <alignment/>
    </xf>
    <xf numFmtId="166" fontId="4" fillId="0" borderId="60" xfId="0" applyNumberFormat="1" applyFont="1" applyBorder="1" applyAlignment="1">
      <alignment/>
    </xf>
    <xf numFmtId="166" fontId="4" fillId="0" borderId="43" xfId="0" applyNumberFormat="1" applyFont="1" applyBorder="1" applyAlignment="1">
      <alignment/>
    </xf>
    <xf numFmtId="166" fontId="8" fillId="0" borderId="61" xfId="0" applyNumberFormat="1" applyFont="1" applyBorder="1" applyAlignment="1">
      <alignment/>
    </xf>
    <xf numFmtId="164" fontId="1" fillId="0" borderId="62" xfId="0" applyFont="1" applyBorder="1" applyAlignment="1">
      <alignment horizontal="center"/>
    </xf>
    <xf numFmtId="166" fontId="8" fillId="0" borderId="60" xfId="0" applyNumberFormat="1" applyFont="1" applyBorder="1" applyAlignment="1">
      <alignment/>
    </xf>
    <xf numFmtId="164" fontId="1" fillId="0" borderId="42" xfId="0" applyFont="1" applyBorder="1" applyAlignment="1">
      <alignment horizontal="center"/>
    </xf>
    <xf numFmtId="164" fontId="8" fillId="0" borderId="63" xfId="0" applyFont="1" applyBorder="1" applyAlignment="1">
      <alignment horizontal="center"/>
    </xf>
    <xf numFmtId="164" fontId="8" fillId="0" borderId="64" xfId="0" applyFont="1" applyBorder="1" applyAlignment="1">
      <alignment/>
    </xf>
    <xf numFmtId="164" fontId="8" fillId="0" borderId="65" xfId="0" applyFont="1" applyBorder="1" applyAlignment="1">
      <alignment horizontal="center"/>
    </xf>
    <xf numFmtId="166" fontId="8" fillId="0" borderId="64" xfId="0" applyNumberFormat="1" applyFont="1" applyBorder="1" applyAlignment="1">
      <alignment/>
    </xf>
    <xf numFmtId="166" fontId="8" fillId="0" borderId="66" xfId="0" applyNumberFormat="1" applyFont="1" applyBorder="1" applyAlignment="1">
      <alignment/>
    </xf>
    <xf numFmtId="164" fontId="8" fillId="0" borderId="67" xfId="0" applyFont="1" applyBorder="1" applyAlignment="1">
      <alignment horizontal="center"/>
    </xf>
    <xf numFmtId="164" fontId="8" fillId="0" borderId="68" xfId="0" applyFont="1" applyBorder="1" applyAlignment="1">
      <alignment/>
    </xf>
    <xf numFmtId="164" fontId="8" fillId="0" borderId="69" xfId="0" applyFont="1" applyBorder="1" applyAlignment="1">
      <alignment horizontal="center"/>
    </xf>
    <xf numFmtId="166" fontId="8" fillId="0" borderId="68" xfId="0" applyNumberFormat="1" applyFont="1" applyBorder="1" applyAlignment="1">
      <alignment/>
    </xf>
    <xf numFmtId="166" fontId="8" fillId="0" borderId="70" xfId="0" applyNumberFormat="1" applyFont="1" applyBorder="1" applyAlignment="1">
      <alignment/>
    </xf>
    <xf numFmtId="164" fontId="8" fillId="0" borderId="71" xfId="0" applyFont="1" applyBorder="1" applyAlignment="1">
      <alignment horizontal="center"/>
    </xf>
    <xf numFmtId="164" fontId="8" fillId="0" borderId="72" xfId="0" applyFont="1" applyBorder="1" applyAlignment="1">
      <alignment/>
    </xf>
    <xf numFmtId="164" fontId="1" fillId="0" borderId="73" xfId="0" applyFont="1" applyBorder="1" applyAlignment="1">
      <alignment horizontal="center"/>
    </xf>
    <xf numFmtId="164" fontId="1" fillId="0" borderId="74" xfId="0" applyFont="1" applyBorder="1" applyAlignment="1">
      <alignment/>
    </xf>
    <xf numFmtId="170" fontId="1" fillId="0" borderId="75" xfId="0" applyNumberFormat="1" applyFont="1" applyBorder="1" applyAlignment="1">
      <alignment horizontal="right"/>
    </xf>
    <xf numFmtId="166" fontId="1" fillId="0" borderId="76" xfId="0" applyNumberFormat="1" applyFont="1" applyBorder="1" applyAlignment="1">
      <alignment/>
    </xf>
    <xf numFmtId="166" fontId="1" fillId="0" borderId="77" xfId="0" applyNumberFormat="1" applyFont="1" applyBorder="1" applyAlignment="1">
      <alignment/>
    </xf>
    <xf numFmtId="164" fontId="0" fillId="0" borderId="78" xfId="0" applyBorder="1" applyAlignment="1">
      <alignment/>
    </xf>
    <xf numFmtId="164" fontId="1" fillId="0" borderId="49" xfId="0" applyFont="1" applyBorder="1" applyAlignment="1">
      <alignment horizontal="center"/>
    </xf>
    <xf numFmtId="171" fontId="1" fillId="0" borderId="41" xfId="0" applyNumberFormat="1" applyFont="1" applyBorder="1" applyAlignment="1">
      <alignment/>
    </xf>
    <xf numFmtId="172" fontId="1" fillId="0" borderId="41" xfId="0" applyNumberFormat="1" applyFont="1" applyBorder="1" applyAlignment="1">
      <alignment horizontal="right"/>
    </xf>
    <xf numFmtId="164" fontId="4" fillId="0" borderId="41" xfId="0" applyFont="1" applyBorder="1" applyAlignment="1">
      <alignment horizontal="right"/>
    </xf>
    <xf numFmtId="164" fontId="1" fillId="0" borderId="79" xfId="0" applyFont="1" applyBorder="1" applyAlignment="1">
      <alignment horizontal="center"/>
    </xf>
    <xf numFmtId="165" fontId="4" fillId="0" borderId="17" xfId="0" applyNumberFormat="1" applyFont="1" applyBorder="1" applyAlignment="1">
      <alignment/>
    </xf>
    <xf numFmtId="164" fontId="4" fillId="0" borderId="26" xfId="0" applyFont="1" applyBorder="1" applyAlignment="1">
      <alignment horizontal="center"/>
    </xf>
    <xf numFmtId="166" fontId="4" fillId="0" borderId="17" xfId="0" applyNumberFormat="1" applyFont="1" applyBorder="1" applyAlignment="1">
      <alignment/>
    </xf>
    <xf numFmtId="166" fontId="1" fillId="0" borderId="18" xfId="0" applyNumberFormat="1" applyFont="1" applyBorder="1" applyAlignment="1">
      <alignment/>
    </xf>
    <xf numFmtId="164" fontId="8" fillId="0" borderId="68" xfId="0" applyFont="1" applyFill="1" applyBorder="1" applyAlignment="1">
      <alignment horizontal="left"/>
    </xf>
    <xf numFmtId="164" fontId="8" fillId="0" borderId="68" xfId="0" applyFont="1" applyBorder="1" applyAlignment="1">
      <alignment horizontal="center"/>
    </xf>
    <xf numFmtId="166" fontId="0" fillId="0" borderId="70" xfId="0" applyNumberFormat="1" applyBorder="1" applyAlignment="1">
      <alignment/>
    </xf>
    <xf numFmtId="164" fontId="8" fillId="0" borderId="80" xfId="0" applyFont="1" applyBorder="1" applyAlignment="1">
      <alignment horizontal="right"/>
    </xf>
    <xf numFmtId="164" fontId="8" fillId="0" borderId="81" xfId="0" applyFont="1" applyFill="1" applyBorder="1" applyAlignment="1">
      <alignment horizontal="left"/>
    </xf>
    <xf numFmtId="164" fontId="8" fillId="0" borderId="81" xfId="0" applyFont="1" applyBorder="1" applyAlignment="1">
      <alignment/>
    </xf>
    <xf numFmtId="166" fontId="8" fillId="0" borderId="81" xfId="0" applyNumberFormat="1" applyFont="1" applyBorder="1" applyAlignment="1">
      <alignment/>
    </xf>
    <xf numFmtId="166" fontId="0" fillId="0" borderId="82" xfId="0" applyNumberFormat="1" applyBorder="1" applyAlignment="1">
      <alignment/>
    </xf>
    <xf numFmtId="164" fontId="8" fillId="0" borderId="83" xfId="0" applyFont="1" applyBorder="1" applyAlignment="1">
      <alignment horizontal="right"/>
    </xf>
    <xf numFmtId="164" fontId="8" fillId="0" borderId="54" xfId="0" applyFont="1" applyFill="1" applyBorder="1" applyAlignment="1">
      <alignment horizontal="left"/>
    </xf>
    <xf numFmtId="164" fontId="8" fillId="0" borderId="54" xfId="0" applyFont="1" applyBorder="1" applyAlignment="1">
      <alignment/>
    </xf>
    <xf numFmtId="166" fontId="8" fillId="0" borderId="54" xfId="0" applyNumberFormat="1" applyFont="1" applyBorder="1" applyAlignment="1">
      <alignment/>
    </xf>
    <xf numFmtId="166" fontId="0" fillId="0" borderId="60" xfId="0" applyNumberFormat="1" applyBorder="1" applyAlignment="1">
      <alignment/>
    </xf>
    <xf numFmtId="164" fontId="8" fillId="0" borderId="49" xfId="0" applyFont="1" applyBorder="1" applyAlignment="1">
      <alignment horizontal="right"/>
    </xf>
    <xf numFmtId="164" fontId="1" fillId="0" borderId="41" xfId="0" applyFont="1" applyFill="1" applyBorder="1" applyAlignment="1">
      <alignment horizontal="left"/>
    </xf>
    <xf numFmtId="166" fontId="0" fillId="0" borderId="41" xfId="0" applyNumberFormat="1" applyBorder="1" applyAlignment="1">
      <alignment/>
    </xf>
    <xf numFmtId="166" fontId="8" fillId="0" borderId="41" xfId="0" applyNumberFormat="1" applyFont="1" applyBorder="1" applyAlignment="1">
      <alignment/>
    </xf>
    <xf numFmtId="166" fontId="0" fillId="0" borderId="43" xfId="0" applyNumberFormat="1" applyBorder="1" applyAlignment="1">
      <alignment/>
    </xf>
    <xf numFmtId="164" fontId="8" fillId="0" borderId="84" xfId="0" applyFont="1" applyBorder="1" applyAlignment="1">
      <alignment horizontal="right"/>
    </xf>
    <xf numFmtId="164" fontId="1" fillId="0" borderId="37" xfId="0" applyFont="1" applyFill="1" applyBorder="1" applyAlignment="1">
      <alignment horizontal="left"/>
    </xf>
    <xf numFmtId="166" fontId="0" fillId="0" borderId="37" xfId="0" applyNumberFormat="1" applyBorder="1" applyAlignment="1">
      <alignment/>
    </xf>
    <xf numFmtId="166" fontId="8" fillId="0" borderId="46" xfId="0" applyNumberFormat="1" applyFont="1" applyBorder="1" applyAlignment="1">
      <alignment/>
    </xf>
    <xf numFmtId="164" fontId="8" fillId="0" borderId="85" xfId="0" applyFont="1" applyBorder="1" applyAlignment="1">
      <alignment horizontal="right"/>
    </xf>
    <xf numFmtId="164" fontId="1" fillId="0" borderId="46" xfId="0" applyFont="1" applyFill="1" applyBorder="1" applyAlignment="1">
      <alignment horizontal="left"/>
    </xf>
    <xf numFmtId="164" fontId="8" fillId="0" borderId="46" xfId="0" applyFont="1" applyBorder="1" applyAlignment="1">
      <alignment/>
    </xf>
    <xf numFmtId="166" fontId="0" fillId="0" borderId="46" xfId="0" applyNumberFormat="1" applyBorder="1" applyAlignment="1">
      <alignment/>
    </xf>
    <xf numFmtId="166" fontId="0" fillId="0" borderId="48" xfId="0" applyNumberFormat="1" applyBorder="1" applyAlignment="1">
      <alignment/>
    </xf>
    <xf numFmtId="164" fontId="8" fillId="0" borderId="86" xfId="0" applyFont="1" applyBorder="1" applyAlignment="1">
      <alignment horizontal="right"/>
    </xf>
    <xf numFmtId="164" fontId="10" fillId="0" borderId="49" xfId="0" applyFont="1" applyBorder="1" applyAlignment="1">
      <alignment horizontal="right"/>
    </xf>
    <xf numFmtId="164" fontId="10" fillId="0" borderId="84" xfId="0" applyFont="1" applyBorder="1" applyAlignment="1">
      <alignment horizontal="right"/>
    </xf>
    <xf numFmtId="164" fontId="8" fillId="0" borderId="37" xfId="0" applyFont="1" applyBorder="1" applyAlignment="1">
      <alignment/>
    </xf>
    <xf numFmtId="166" fontId="8" fillId="0" borderId="37" xfId="0" applyNumberFormat="1" applyFont="1" applyBorder="1" applyAlignment="1">
      <alignment/>
    </xf>
    <xf numFmtId="166" fontId="8" fillId="0" borderId="39" xfId="0" applyNumberFormat="1" applyFont="1" applyBorder="1" applyAlignment="1">
      <alignment/>
    </xf>
    <xf numFmtId="164" fontId="10" fillId="0" borderId="79" xfId="0" applyFont="1" applyBorder="1" applyAlignment="1">
      <alignment horizontal="right"/>
    </xf>
    <xf numFmtId="164" fontId="1" fillId="0" borderId="17" xfId="0" applyFont="1" applyBorder="1" applyAlignment="1">
      <alignment/>
    </xf>
    <xf numFmtId="166" fontId="1" fillId="0" borderId="17" xfId="0" applyNumberFormat="1" applyFont="1" applyBorder="1" applyAlignment="1">
      <alignment/>
    </xf>
    <xf numFmtId="165" fontId="8" fillId="0" borderId="68" xfId="0" applyNumberFormat="1" applyFont="1" applyBorder="1" applyAlignment="1">
      <alignment/>
    </xf>
    <xf numFmtId="164" fontId="8" fillId="0" borderId="30" xfId="0" applyFont="1" applyBorder="1" applyAlignment="1">
      <alignment horizontal="right"/>
    </xf>
    <xf numFmtId="165" fontId="1" fillId="0" borderId="31" xfId="0" applyNumberFormat="1" applyFont="1" applyBorder="1" applyAlignment="1">
      <alignment/>
    </xf>
    <xf numFmtId="164" fontId="1" fillId="0" borderId="31" xfId="0" applyFont="1" applyBorder="1" applyAlignment="1">
      <alignment/>
    </xf>
    <xf numFmtId="166" fontId="1" fillId="0" borderId="31" xfId="0" applyNumberFormat="1" applyFont="1" applyBorder="1" applyAlignment="1">
      <alignment/>
    </xf>
    <xf numFmtId="165" fontId="1" fillId="0" borderId="37" xfId="0" applyNumberFormat="1" applyFont="1" applyBorder="1" applyAlignment="1">
      <alignment/>
    </xf>
    <xf numFmtId="165" fontId="10" fillId="0" borderId="37" xfId="0" applyNumberFormat="1" applyFont="1" applyBorder="1" applyAlignment="1">
      <alignment/>
    </xf>
    <xf numFmtId="164" fontId="10" fillId="0" borderId="37" xfId="0" applyFont="1" applyBorder="1" applyAlignment="1">
      <alignment/>
    </xf>
    <xf numFmtId="166" fontId="10" fillId="0" borderId="37" xfId="0" applyNumberFormat="1" applyFont="1" applyBorder="1" applyAlignment="1">
      <alignment/>
    </xf>
    <xf numFmtId="164" fontId="10" fillId="0" borderId="41" xfId="0" applyFont="1" applyBorder="1" applyAlignment="1">
      <alignment/>
    </xf>
    <xf numFmtId="164" fontId="5" fillId="0" borderId="41" xfId="0" applyFont="1" applyBorder="1" applyAlignment="1">
      <alignment/>
    </xf>
    <xf numFmtId="164" fontId="10" fillId="0" borderId="49" xfId="0" applyFont="1" applyBorder="1" applyAlignment="1">
      <alignment horizontal="center"/>
    </xf>
    <xf numFmtId="173" fontId="10" fillId="0" borderId="41" xfId="0" applyNumberFormat="1" applyFont="1" applyBorder="1" applyAlignment="1">
      <alignment/>
    </xf>
    <xf numFmtId="166" fontId="8" fillId="0" borderId="48" xfId="0" applyNumberFormat="1" applyFont="1" applyBorder="1" applyAlignment="1">
      <alignment/>
    </xf>
    <xf numFmtId="164" fontId="10" fillId="0" borderId="85" xfId="0" applyFont="1" applyBorder="1" applyAlignment="1">
      <alignment horizontal="center"/>
    </xf>
    <xf numFmtId="164" fontId="10" fillId="0" borderId="46" xfId="0" applyFont="1" applyBorder="1" applyAlignment="1">
      <alignment/>
    </xf>
    <xf numFmtId="166" fontId="10" fillId="0" borderId="46" xfId="0" applyNumberFormat="1" applyFont="1" applyBorder="1" applyAlignment="1">
      <alignment/>
    </xf>
    <xf numFmtId="164" fontId="8" fillId="0" borderId="79" xfId="0" applyFont="1" applyBorder="1" applyAlignment="1">
      <alignment horizontal="center"/>
    </xf>
    <xf numFmtId="164" fontId="1" fillId="0" borderId="87" xfId="0" applyFont="1" applyFill="1" applyBorder="1" applyAlignment="1">
      <alignment horizontal="left"/>
    </xf>
    <xf numFmtId="164" fontId="12" fillId="0" borderId="67" xfId="0" applyFont="1" applyBorder="1" applyAlignment="1">
      <alignment horizontal="center"/>
    </xf>
    <xf numFmtId="164" fontId="8" fillId="0" borderId="69" xfId="0" applyFont="1" applyBorder="1" applyAlignment="1">
      <alignment/>
    </xf>
    <xf numFmtId="164" fontId="10" fillId="0" borderId="84" xfId="0" applyFont="1" applyBorder="1" applyAlignment="1">
      <alignment horizontal="center"/>
    </xf>
    <xf numFmtId="164" fontId="10" fillId="0" borderId="38" xfId="0" applyFont="1" applyBorder="1" applyAlignment="1">
      <alignment/>
    </xf>
    <xf numFmtId="164" fontId="12" fillId="0" borderId="76" xfId="0" applyFont="1" applyBorder="1" applyAlignment="1">
      <alignment/>
    </xf>
    <xf numFmtId="166" fontId="8" fillId="0" borderId="76" xfId="0" applyNumberFormat="1" applyFont="1" applyBorder="1" applyAlignment="1">
      <alignment/>
    </xf>
    <xf numFmtId="166" fontId="10" fillId="0" borderId="76" xfId="0" applyNumberFormat="1" applyFont="1" applyBorder="1" applyAlignment="1">
      <alignment/>
    </xf>
    <xf numFmtId="166" fontId="8" fillId="0" borderId="88" xfId="0" applyNumberFormat="1" applyFont="1" applyBorder="1" applyAlignment="1">
      <alignment/>
    </xf>
    <xf numFmtId="166" fontId="8" fillId="0" borderId="56" xfId="0" applyNumberFormat="1" applyFont="1" applyBorder="1" applyAlignment="1">
      <alignment/>
    </xf>
    <xf numFmtId="165" fontId="1" fillId="0" borderId="42" xfId="0" applyNumberFormat="1" applyFont="1" applyBorder="1" applyAlignment="1">
      <alignment/>
    </xf>
    <xf numFmtId="165" fontId="10" fillId="0" borderId="42" xfId="0" applyNumberFormat="1" applyFont="1" applyBorder="1" applyAlignment="1">
      <alignment/>
    </xf>
    <xf numFmtId="164" fontId="8" fillId="0" borderId="67" xfId="0" applyFont="1" applyBorder="1" applyAlignment="1">
      <alignment horizontal="right"/>
    </xf>
    <xf numFmtId="164" fontId="1" fillId="0" borderId="83" xfId="0" applyFont="1" applyBorder="1" applyAlignment="1">
      <alignment horizontal="right"/>
    </xf>
    <xf numFmtId="164" fontId="1" fillId="0" borderId="49" xfId="0" applyFont="1" applyBorder="1" applyAlignment="1">
      <alignment horizontal="right"/>
    </xf>
    <xf numFmtId="164" fontId="1" fillId="0" borderId="89" xfId="0" applyFont="1" applyBorder="1" applyAlignment="1">
      <alignment/>
    </xf>
    <xf numFmtId="164" fontId="8" fillId="0" borderId="84" xfId="0" applyFont="1" applyBorder="1" applyAlignment="1">
      <alignment horizontal="center"/>
    </xf>
    <xf numFmtId="164" fontId="8" fillId="0" borderId="90" xfId="0" applyFont="1" applyBorder="1" applyAlignment="1">
      <alignment horizontal="center"/>
    </xf>
    <xf numFmtId="166" fontId="1" fillId="0" borderId="58" xfId="0" applyNumberFormat="1" applyFont="1" applyBorder="1" applyAlignment="1">
      <alignment/>
    </xf>
    <xf numFmtId="164" fontId="8" fillId="0" borderId="86" xfId="0" applyFont="1" applyBorder="1" applyAlignment="1">
      <alignment horizontal="center"/>
    </xf>
    <xf numFmtId="164" fontId="2" fillId="0" borderId="91" xfId="0" applyFont="1" applyFill="1" applyBorder="1" applyAlignment="1">
      <alignment horizontal="left"/>
    </xf>
    <xf numFmtId="164" fontId="11" fillId="0" borderId="92" xfId="0" applyFont="1" applyBorder="1" applyAlignment="1">
      <alignment/>
    </xf>
    <xf numFmtId="166" fontId="11" fillId="0" borderId="34" xfId="0" applyNumberFormat="1" applyFont="1" applyBorder="1" applyAlignment="1">
      <alignment/>
    </xf>
    <xf numFmtId="166" fontId="11" fillId="0" borderId="35" xfId="0" applyNumberFormat="1" applyFont="1" applyBorder="1" applyAlignment="1">
      <alignment/>
    </xf>
    <xf numFmtId="171" fontId="7" fillId="0" borderId="0" xfId="0" applyNumberFormat="1" applyFont="1" applyAlignment="1">
      <alignment/>
    </xf>
    <xf numFmtId="164" fontId="8" fillId="0" borderId="93" xfId="0" applyFont="1" applyBorder="1" applyAlignment="1">
      <alignment/>
    </xf>
    <xf numFmtId="164" fontId="8" fillId="0" borderId="94" xfId="0" applyFont="1" applyBorder="1" applyAlignment="1">
      <alignment/>
    </xf>
    <xf numFmtId="164" fontId="8" fillId="0" borderId="94" xfId="0" applyFont="1" applyBorder="1" applyAlignment="1">
      <alignment horizontal="center"/>
    </xf>
    <xf numFmtId="164" fontId="8" fillId="0" borderId="95" xfId="0" applyFont="1" applyBorder="1" applyAlignment="1">
      <alignment horizontal="center"/>
    </xf>
    <xf numFmtId="164" fontId="8" fillId="0" borderId="96" xfId="0" applyFont="1" applyBorder="1" applyAlignment="1">
      <alignment/>
    </xf>
    <xf numFmtId="164" fontId="8" fillId="0" borderId="97" xfId="0" applyFont="1" applyBorder="1" applyAlignment="1">
      <alignment horizontal="center"/>
    </xf>
    <xf numFmtId="166" fontId="8" fillId="0" borderId="98" xfId="0" applyNumberFormat="1" applyFont="1" applyBorder="1" applyAlignment="1">
      <alignment/>
    </xf>
    <xf numFmtId="166" fontId="8" fillId="0" borderId="99" xfId="0" applyNumberFormat="1" applyFont="1" applyBorder="1" applyAlignment="1">
      <alignment/>
    </xf>
    <xf numFmtId="164" fontId="8" fillId="0" borderId="100" xfId="0" applyFont="1" applyBorder="1" applyAlignment="1">
      <alignment horizontal="center"/>
    </xf>
    <xf numFmtId="164" fontId="8" fillId="0" borderId="101" xfId="0" applyFont="1" applyBorder="1" applyAlignment="1">
      <alignment/>
    </xf>
    <xf numFmtId="164" fontId="8" fillId="0" borderId="102" xfId="0" applyFont="1" applyBorder="1" applyAlignment="1">
      <alignment horizontal="center"/>
    </xf>
    <xf numFmtId="166" fontId="8" fillId="0" borderId="87" xfId="0" applyNumberFormat="1" applyFont="1" applyBorder="1" applyAlignment="1">
      <alignment/>
    </xf>
    <xf numFmtId="166" fontId="8" fillId="0" borderId="103" xfId="0" applyNumberFormat="1" applyFont="1" applyBorder="1" applyAlignment="1">
      <alignment/>
    </xf>
    <xf numFmtId="166" fontId="8" fillId="0" borderId="104" xfId="0" applyNumberFormat="1" applyFont="1" applyBorder="1" applyAlignment="1">
      <alignment/>
    </xf>
    <xf numFmtId="164" fontId="8" fillId="0" borderId="105" xfId="0" applyFont="1" applyBorder="1" applyAlignment="1">
      <alignment horizontal="center"/>
    </xf>
    <xf numFmtId="171" fontId="5" fillId="0" borderId="76" xfId="0" applyNumberFormat="1" applyFont="1" applyBorder="1" applyAlignment="1">
      <alignment/>
    </xf>
    <xf numFmtId="172" fontId="5" fillId="0" borderId="76" xfId="0" applyNumberFormat="1" applyFont="1" applyBorder="1" applyAlignment="1">
      <alignment horizontal="center"/>
    </xf>
    <xf numFmtId="166" fontId="8" fillId="0" borderId="77" xfId="0" applyNumberFormat="1" applyFont="1" applyBorder="1" applyAlignment="1">
      <alignment/>
    </xf>
    <xf numFmtId="172" fontId="5" fillId="0" borderId="41" xfId="0" applyNumberFormat="1" applyFont="1" applyBorder="1" applyAlignment="1">
      <alignment horizontal="center"/>
    </xf>
    <xf numFmtId="164" fontId="1" fillId="0" borderId="41" xfId="0" applyFont="1" applyFill="1" applyBorder="1" applyAlignment="1">
      <alignment/>
    </xf>
    <xf numFmtId="164" fontId="10" fillId="0" borderId="41" xfId="0" applyFont="1" applyBorder="1" applyAlignment="1">
      <alignment horizontal="center"/>
    </xf>
    <xf numFmtId="165" fontId="10" fillId="0" borderId="17" xfId="0" applyNumberFormat="1" applyFont="1" applyBorder="1" applyAlignment="1">
      <alignment/>
    </xf>
    <xf numFmtId="164" fontId="10" fillId="0" borderId="26" xfId="0" applyFont="1" applyBorder="1" applyAlignment="1">
      <alignment horizontal="center"/>
    </xf>
    <xf numFmtId="166" fontId="10" fillId="0" borderId="17" xfId="0" applyNumberFormat="1" applyFont="1" applyBorder="1" applyAlignment="1">
      <alignment/>
    </xf>
    <xf numFmtId="164" fontId="8" fillId="0" borderId="90" xfId="0" applyFont="1" applyBorder="1" applyAlignment="1">
      <alignment horizontal="right"/>
    </xf>
    <xf numFmtId="164" fontId="5" fillId="0" borderId="58" xfId="0" applyFont="1" applyBorder="1" applyAlignment="1">
      <alignment/>
    </xf>
    <xf numFmtId="166" fontId="8" fillId="0" borderId="58" xfId="0" applyNumberFormat="1" applyFont="1" applyBorder="1" applyAlignment="1">
      <alignment/>
    </xf>
    <xf numFmtId="164" fontId="13" fillId="0" borderId="41" xfId="0" applyFont="1" applyBorder="1" applyAlignment="1">
      <alignment/>
    </xf>
    <xf numFmtId="165" fontId="5" fillId="0" borderId="41" xfId="0" applyNumberFormat="1" applyFont="1" applyBorder="1" applyAlignment="1">
      <alignment/>
    </xf>
    <xf numFmtId="164" fontId="8" fillId="0" borderId="51" xfId="0" applyFont="1" applyBorder="1" applyAlignment="1">
      <alignment/>
    </xf>
    <xf numFmtId="166" fontId="8" fillId="0" borderId="106" xfId="0" applyNumberFormat="1" applyFont="1" applyBorder="1" applyAlignment="1">
      <alignment/>
    </xf>
    <xf numFmtId="164" fontId="11" fillId="0" borderId="8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511"/>
  <sheetViews>
    <sheetView workbookViewId="0" topLeftCell="E1">
      <selection activeCell="K18" sqref="K18"/>
    </sheetView>
  </sheetViews>
  <sheetFormatPr defaultColWidth="12.57421875" defaultRowHeight="12.75"/>
  <cols>
    <col min="1" max="1" width="4.00390625" style="0" customWidth="1"/>
    <col min="2" max="2" width="6.140625" style="0" customWidth="1"/>
    <col min="3" max="3" width="19.28125" style="0" customWidth="1"/>
    <col min="4" max="4" width="6.140625" style="0" customWidth="1"/>
    <col min="5" max="5" width="11.7109375" style="0" customWidth="1"/>
    <col min="6" max="44" width="9.7109375" style="0" customWidth="1"/>
    <col min="45" max="16384" width="11.57421875" style="0" customWidth="1"/>
  </cols>
  <sheetData>
    <row r="1" spans="1:44" ht="12.75">
      <c r="A1" s="1"/>
      <c r="B1" s="1"/>
      <c r="C1" s="1"/>
      <c r="D1" s="1"/>
      <c r="E1" s="2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2.75">
      <c r="A2" s="1"/>
      <c r="B2" s="1"/>
      <c r="C2" s="1"/>
      <c r="D2" s="1"/>
      <c r="E2" s="1"/>
      <c r="F2" s="3" t="s">
        <v>1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" t="s">
        <v>2</v>
      </c>
      <c r="M3" s="4" t="s">
        <v>2</v>
      </c>
      <c r="N3" s="4" t="s">
        <v>2</v>
      </c>
      <c r="O3" s="4"/>
      <c r="P3" s="4">
        <v>22.23</v>
      </c>
      <c r="Q3" s="4">
        <v>22.23</v>
      </c>
      <c r="R3" s="4"/>
      <c r="S3" s="4"/>
      <c r="T3" s="1"/>
      <c r="U3" s="4" t="s">
        <v>2</v>
      </c>
      <c r="V3" s="4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 t="s">
        <v>3</v>
      </c>
      <c r="AL3" s="4" t="s">
        <v>4</v>
      </c>
      <c r="AM3" s="4"/>
      <c r="AN3" s="1"/>
      <c r="AO3" s="1" t="s">
        <v>5</v>
      </c>
      <c r="AP3" s="1" t="s">
        <v>6</v>
      </c>
      <c r="AQ3" s="1" t="s">
        <v>7</v>
      </c>
      <c r="AR3" s="1"/>
    </row>
    <row r="4" spans="1:44" ht="12.75">
      <c r="A4" s="4" t="s">
        <v>8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13</v>
      </c>
      <c r="G4" s="4" t="s">
        <v>14</v>
      </c>
      <c r="H4" s="4" t="s">
        <v>15</v>
      </c>
      <c r="I4" s="4" t="s">
        <v>16</v>
      </c>
      <c r="J4" s="4" t="s">
        <v>17</v>
      </c>
      <c r="K4" s="4" t="s">
        <v>18</v>
      </c>
      <c r="L4" s="4" t="s">
        <v>13</v>
      </c>
      <c r="M4" s="4" t="s">
        <v>15</v>
      </c>
      <c r="N4" s="4" t="s">
        <v>17</v>
      </c>
      <c r="O4" s="4" t="s">
        <v>19</v>
      </c>
      <c r="P4" s="4" t="s">
        <v>15</v>
      </c>
      <c r="Q4" s="4" t="s">
        <v>17</v>
      </c>
      <c r="R4" s="4" t="s">
        <v>19</v>
      </c>
      <c r="S4" s="4" t="s">
        <v>20</v>
      </c>
      <c r="T4" s="4" t="s">
        <v>21</v>
      </c>
      <c r="U4" s="4" t="s">
        <v>21</v>
      </c>
      <c r="V4" s="4" t="s">
        <v>21</v>
      </c>
      <c r="W4" s="4" t="s">
        <v>22</v>
      </c>
      <c r="X4" s="4" t="s">
        <v>23</v>
      </c>
      <c r="Y4" s="4" t="s">
        <v>24</v>
      </c>
      <c r="Z4" s="4" t="s">
        <v>25</v>
      </c>
      <c r="AA4" s="4" t="s">
        <v>26</v>
      </c>
      <c r="AB4" s="4" t="s">
        <v>27</v>
      </c>
      <c r="AC4" s="4" t="s">
        <v>28</v>
      </c>
      <c r="AD4" s="4" t="s">
        <v>29</v>
      </c>
      <c r="AE4" s="4" t="s">
        <v>22</v>
      </c>
      <c r="AF4" s="4" t="s">
        <v>30</v>
      </c>
      <c r="AG4" s="4" t="s">
        <v>31</v>
      </c>
      <c r="AH4" s="4" t="s">
        <v>32</v>
      </c>
      <c r="AI4" s="4" t="s">
        <v>33</v>
      </c>
      <c r="AJ4" s="4" t="s">
        <v>34</v>
      </c>
      <c r="AK4" s="4" t="s">
        <v>35</v>
      </c>
      <c r="AL4" s="4" t="s">
        <v>35</v>
      </c>
      <c r="AM4" s="4"/>
      <c r="AN4" s="4" t="s">
        <v>36</v>
      </c>
      <c r="AO4" s="1"/>
      <c r="AP4" s="1"/>
      <c r="AQ4" s="1" t="s">
        <v>37</v>
      </c>
      <c r="AR4" s="1"/>
    </row>
    <row r="5" spans="1:44" ht="12.75">
      <c r="A5" s="4"/>
      <c r="B5" s="4"/>
      <c r="C5" s="4"/>
      <c r="D5" s="4"/>
      <c r="E5" s="4"/>
      <c r="F5" s="4" t="s">
        <v>38</v>
      </c>
      <c r="G5" s="4" t="s">
        <v>39</v>
      </c>
      <c r="H5" s="4"/>
      <c r="I5" s="4"/>
      <c r="J5" s="4" t="s">
        <v>40</v>
      </c>
      <c r="K5" s="4" t="s">
        <v>41</v>
      </c>
      <c r="L5" s="4" t="s">
        <v>38</v>
      </c>
      <c r="M5" s="4" t="s">
        <v>0</v>
      </c>
      <c r="N5" s="4" t="s">
        <v>40</v>
      </c>
      <c r="O5" s="4"/>
      <c r="P5" s="4"/>
      <c r="Q5" s="4" t="s">
        <v>40</v>
      </c>
      <c r="R5" s="4"/>
      <c r="S5" s="4"/>
      <c r="T5" s="5" t="s">
        <v>42</v>
      </c>
      <c r="U5" s="4" t="s">
        <v>43</v>
      </c>
      <c r="V5" s="4" t="s">
        <v>44</v>
      </c>
      <c r="W5" s="4" t="s">
        <v>45</v>
      </c>
      <c r="X5" s="4" t="s">
        <v>46</v>
      </c>
      <c r="Y5" s="4" t="s">
        <v>47</v>
      </c>
      <c r="Z5" s="4"/>
      <c r="AA5" s="4" t="s">
        <v>48</v>
      </c>
      <c r="AB5" s="4" t="s">
        <v>49</v>
      </c>
      <c r="AC5" s="4"/>
      <c r="AD5" s="4"/>
      <c r="AE5" s="4" t="s">
        <v>50</v>
      </c>
      <c r="AF5" s="4"/>
      <c r="AG5" s="4"/>
      <c r="AH5" s="1" t="s">
        <v>51</v>
      </c>
      <c r="AI5" s="1" t="s">
        <v>52</v>
      </c>
      <c r="AJ5" s="1" t="s">
        <v>53</v>
      </c>
      <c r="AK5" s="1"/>
      <c r="AL5" s="4" t="s">
        <v>0</v>
      </c>
      <c r="AM5" s="4"/>
      <c r="AN5" s="1"/>
      <c r="AO5" s="1"/>
      <c r="AP5" s="1"/>
      <c r="AQ5" s="1"/>
      <c r="AR5" s="1"/>
    </row>
    <row r="6" spans="1:44" ht="12.75">
      <c r="A6" s="1"/>
      <c r="B6" s="1"/>
      <c r="C6" s="6" t="s">
        <v>54</v>
      </c>
      <c r="D6" s="6"/>
      <c r="E6" s="7">
        <f>SUM(F6:W6)-30028.73-12402.98</f>
        <v>-20860.759999999995</v>
      </c>
      <c r="F6" s="7">
        <v>13522.65</v>
      </c>
      <c r="G6" s="7">
        <v>-6401.61</v>
      </c>
      <c r="H6" s="7">
        <v>-14916.21</v>
      </c>
      <c r="I6" s="7">
        <v>473.86</v>
      </c>
      <c r="J6" s="7">
        <v>279</v>
      </c>
      <c r="K6" s="7">
        <v>-132.13</v>
      </c>
      <c r="L6" s="7">
        <v>2375.45</v>
      </c>
      <c r="M6" s="7">
        <v>557</v>
      </c>
      <c r="N6" s="7">
        <v>-69</v>
      </c>
      <c r="O6" s="7">
        <v>43.16</v>
      </c>
      <c r="P6" s="7">
        <v>-1856.79</v>
      </c>
      <c r="Q6" s="7">
        <v>126</v>
      </c>
      <c r="R6" s="7">
        <v>2.66</v>
      </c>
      <c r="S6" s="7">
        <v>-37578.52</v>
      </c>
      <c r="T6" s="7">
        <v>60110.94</v>
      </c>
      <c r="U6" s="7">
        <v>3797.75</v>
      </c>
      <c r="V6" s="7">
        <v>1787.58</v>
      </c>
      <c r="W6" s="8">
        <v>-550.84</v>
      </c>
      <c r="X6" s="7" t="s">
        <v>0</v>
      </c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>
        <v>-7237.85</v>
      </c>
      <c r="AO6" s="7"/>
      <c r="AP6" s="7"/>
      <c r="AQ6" s="7"/>
      <c r="AR6" s="7"/>
    </row>
    <row r="7" spans="1:44" ht="12.75">
      <c r="A7" s="1"/>
      <c r="B7" s="9"/>
      <c r="C7" s="1" t="s">
        <v>55</v>
      </c>
      <c r="D7" s="1">
        <f>J7/9</f>
        <v>343</v>
      </c>
      <c r="E7" s="8">
        <f>SUM(F7:AQ7)</f>
        <v>116232.142</v>
      </c>
      <c r="F7" s="8">
        <f>6756*2.1</f>
        <v>14187.6</v>
      </c>
      <c r="G7" s="8">
        <f>(38+102+93+99)*18+108*10</f>
        <v>7056</v>
      </c>
      <c r="H7" s="8">
        <f>(132+252+228+235)*8.07</f>
        <v>6835.29</v>
      </c>
      <c r="I7" s="8">
        <f>49*6.5+48*8+50*9.5</f>
        <v>1177.5</v>
      </c>
      <c r="J7" s="8">
        <f>(49+98+100+96)*9</f>
        <v>3087</v>
      </c>
      <c r="K7" s="8">
        <f>5805*0.23</f>
        <v>1335.15</v>
      </c>
      <c r="L7" s="8">
        <f>3278.6*2.6+622.8*2.6</f>
        <v>10143.640000000001</v>
      </c>
      <c r="M7" s="8">
        <f>422*8.07</f>
        <v>3405.54</v>
      </c>
      <c r="N7" s="8">
        <f>167*9</f>
        <v>1503</v>
      </c>
      <c r="O7" s="8">
        <f>3278.6*0.07+0.04</f>
        <v>229.542</v>
      </c>
      <c r="P7" s="8">
        <f>111*8.07</f>
        <v>895.77</v>
      </c>
      <c r="Q7" s="8">
        <f>27*9</f>
        <v>243</v>
      </c>
      <c r="R7" s="8">
        <f>415.2*0.08-0.016</f>
        <v>33.2</v>
      </c>
      <c r="S7" s="8">
        <f>74+153+149+143+253+45</f>
        <v>817</v>
      </c>
      <c r="T7" s="8">
        <f>6756*1</f>
        <v>6756</v>
      </c>
      <c r="U7" s="8">
        <f>3278.6*0.5</f>
        <v>1639.3</v>
      </c>
      <c r="V7" s="8">
        <f>622.8*0.3</f>
        <v>186.84</v>
      </c>
      <c r="W7" s="8">
        <f>6756*1.4+3278.6*1.7+622.8*1.5</f>
        <v>15966.220000000001</v>
      </c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>
        <f>1041.6*5.3</f>
        <v>5520.48</v>
      </c>
      <c r="AL7" s="8">
        <f>2237*5.9</f>
        <v>13198.300000000001</v>
      </c>
      <c r="AM7" s="8"/>
      <c r="AN7" s="8">
        <f>538+1020+1065+969+963+150</f>
        <v>4705</v>
      </c>
      <c r="AO7" s="7">
        <f>460+167.91</f>
        <v>627.91</v>
      </c>
      <c r="AP7" s="7"/>
      <c r="AQ7" s="7">
        <f>2041.68+1454.7+1157.16+982.68+1277.46+2022+1693.5+238.5+336.7+491.33+438.81+543.18+602.76+1207.75+1180.32+1014.33</f>
        <v>16682.86</v>
      </c>
      <c r="AR7" s="8"/>
    </row>
    <row r="8" spans="1:44" ht="12.75">
      <c r="A8" s="1"/>
      <c r="B8" s="9"/>
      <c r="C8" s="1" t="s">
        <v>56</v>
      </c>
      <c r="D8" s="1">
        <f>J8/9</f>
        <v>343</v>
      </c>
      <c r="E8" s="8">
        <f>SUM(F8:AQ8)</f>
        <v>116394.74200000001</v>
      </c>
      <c r="F8" s="8">
        <f>6756*2.1</f>
        <v>14187.6</v>
      </c>
      <c r="G8" s="8">
        <f>(68+103+88+91)*18+108*10</f>
        <v>7380</v>
      </c>
      <c r="H8" s="8">
        <f>(152+239+217+224)*8.07</f>
        <v>6714.24</v>
      </c>
      <c r="I8" s="8">
        <f>49*6.5+48*8+50*9.5</f>
        <v>1177.5</v>
      </c>
      <c r="J8" s="8">
        <f>(49+98+100+96)*9</f>
        <v>3087</v>
      </c>
      <c r="K8" s="8">
        <f>5805*0.23</f>
        <v>1335.15</v>
      </c>
      <c r="L8" s="8">
        <f>3278.6*2.6+622.8*2.6</f>
        <v>10143.640000000001</v>
      </c>
      <c r="M8" s="8">
        <f>431*8.07</f>
        <v>3478.17</v>
      </c>
      <c r="N8" s="8">
        <f>167*9</f>
        <v>1503</v>
      </c>
      <c r="O8" s="8">
        <f>3278.6*0.07+0.04</f>
        <v>229.542</v>
      </c>
      <c r="P8" s="8">
        <f>97*8.07</f>
        <v>782.7900000000001</v>
      </c>
      <c r="Q8" s="8">
        <f>27*9</f>
        <v>243</v>
      </c>
      <c r="R8" s="8">
        <f>415.2*0.08-0.016</f>
        <v>33.2</v>
      </c>
      <c r="S8" s="8">
        <f>74+153+149+143+253+45</f>
        <v>817</v>
      </c>
      <c r="T8" s="8">
        <f>6756*1</f>
        <v>6756</v>
      </c>
      <c r="U8" s="8">
        <f>3278.6*0.5</f>
        <v>1639.3</v>
      </c>
      <c r="V8" s="8">
        <f>622.8*0.3</f>
        <v>186.84</v>
      </c>
      <c r="W8" s="8">
        <f>6756*1.4+3278.6*1.7+622.8*1.5</f>
        <v>15966.220000000001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>
        <f>1041.6*5.3</f>
        <v>5520.48</v>
      </c>
      <c r="AL8" s="8">
        <f>2237*5.9</f>
        <v>13198.300000000001</v>
      </c>
      <c r="AM8" s="8"/>
      <c r="AN8" s="8">
        <f>538+1020+1065+969+963+150</f>
        <v>4705</v>
      </c>
      <c r="AO8" s="7">
        <v>627.91</v>
      </c>
      <c r="AP8" s="7"/>
      <c r="AQ8" s="7">
        <v>16682.86</v>
      </c>
      <c r="AR8" s="8"/>
    </row>
    <row r="9" spans="1:44" ht="12.75">
      <c r="A9" s="1"/>
      <c r="B9" s="9"/>
      <c r="C9" s="1" t="s">
        <v>57</v>
      </c>
      <c r="D9" s="1">
        <f>J9/9</f>
        <v>343</v>
      </c>
      <c r="E9" s="8">
        <f>SUM(F9:AQ9)</f>
        <v>116836.55200000001</v>
      </c>
      <c r="F9" s="8">
        <f>6756*2.1</f>
        <v>14187.6</v>
      </c>
      <c r="G9" s="8">
        <f>(62+99+99+105)*18+108*10</f>
        <v>7650</v>
      </c>
      <c r="H9" s="8">
        <f>(145+234+242+247)*8.07</f>
        <v>7004.76</v>
      </c>
      <c r="I9" s="8">
        <f>49*6.5+48*8+50*9.5</f>
        <v>1177.5</v>
      </c>
      <c r="J9" s="8">
        <f>(49+98+100+96)*9</f>
        <v>3087</v>
      </c>
      <c r="K9" s="8">
        <f>5805*0.23</f>
        <v>1335.15</v>
      </c>
      <c r="L9" s="8">
        <f>3278.6*2.6+622.8*2.6</f>
        <v>10143.640000000001</v>
      </c>
      <c r="M9" s="8">
        <f>403*8.07</f>
        <v>3252.21</v>
      </c>
      <c r="N9" s="8">
        <f>167*9</f>
        <v>1503</v>
      </c>
      <c r="O9" s="8">
        <f>3278.6*0.07+0.04</f>
        <v>229.542</v>
      </c>
      <c r="P9" s="8">
        <f>96*8.07</f>
        <v>774.72</v>
      </c>
      <c r="Q9" s="8">
        <f>27*9</f>
        <v>243</v>
      </c>
      <c r="R9" s="8">
        <f>415.2*0.08-0.016</f>
        <v>33.2</v>
      </c>
      <c r="S9" s="8">
        <f>74+153+149+143+253+45</f>
        <v>817</v>
      </c>
      <c r="T9" s="8">
        <f>6756*1</f>
        <v>6756</v>
      </c>
      <c r="U9" s="8">
        <f>3278.6*0.5</f>
        <v>1639.3</v>
      </c>
      <c r="V9" s="8">
        <f>622.8*0.3</f>
        <v>186.84</v>
      </c>
      <c r="W9" s="8">
        <f>6756*1.4+3278.6*1.7+622.8*1.5</f>
        <v>15966.220000000001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>
        <f>1041.6*5.3</f>
        <v>5520.48</v>
      </c>
      <c r="AL9" s="8">
        <f>2237*5.9</f>
        <v>13198.300000000001</v>
      </c>
      <c r="AM9" s="8"/>
      <c r="AN9" s="8">
        <f>538+1020+1065+969+963+150</f>
        <v>4705</v>
      </c>
      <c r="AO9" s="7">
        <f>460+283.23</f>
        <v>743.23</v>
      </c>
      <c r="AP9" s="7"/>
      <c r="AQ9" s="7">
        <v>16682.86</v>
      </c>
      <c r="AR9" s="8"/>
    </row>
    <row r="10" spans="1:44" ht="12.75">
      <c r="A10" s="1"/>
      <c r="B10" s="9"/>
      <c r="C10" s="1" t="s">
        <v>58</v>
      </c>
      <c r="D10" s="1">
        <f>J10/9</f>
        <v>344</v>
      </c>
      <c r="E10" s="8">
        <f>SUM(F10:AQ10)</f>
        <v>116150.392</v>
      </c>
      <c r="F10" s="8">
        <f>6756*2.1</f>
        <v>14187.6</v>
      </c>
      <c r="G10" s="8">
        <f>(62+102+83+101)*18+108*10</f>
        <v>7344</v>
      </c>
      <c r="H10" s="8">
        <f>(158+247+233+246)*8.07</f>
        <v>7133.88</v>
      </c>
      <c r="I10" s="8">
        <f>50*6.5+48*8+50*9.5</f>
        <v>1184</v>
      </c>
      <c r="J10" s="8">
        <f>(50+98+100+96)*9</f>
        <v>3096</v>
      </c>
      <c r="K10" s="8">
        <f>5679*0.23</f>
        <v>1306.17</v>
      </c>
      <c r="L10" s="8">
        <f>3278.6*2.6+622.8*2.6</f>
        <v>10143.640000000001</v>
      </c>
      <c r="M10" s="8">
        <f>347*8.07</f>
        <v>2800.29</v>
      </c>
      <c r="N10" s="8">
        <f>170*9</f>
        <v>1530</v>
      </c>
      <c r="O10" s="8">
        <f>3278.6*0.07+0.04</f>
        <v>229.542</v>
      </c>
      <c r="P10" s="8">
        <f>97*8.07</f>
        <v>782.7900000000001</v>
      </c>
      <c r="Q10" s="8">
        <f>29*9</f>
        <v>261</v>
      </c>
      <c r="R10" s="8">
        <f>415.2*0.08-0.016</f>
        <v>33.2</v>
      </c>
      <c r="S10" s="8">
        <f>74+153+149+143+253+45</f>
        <v>817</v>
      </c>
      <c r="T10" s="8">
        <f>6756*1</f>
        <v>6756</v>
      </c>
      <c r="U10" s="8">
        <f>3278.6*0.5</f>
        <v>1639.3</v>
      </c>
      <c r="V10" s="8">
        <f>622.8*0.3</f>
        <v>186.84</v>
      </c>
      <c r="W10" s="8">
        <f>6756*1.4+3278.6*1.7+622.8*1.5</f>
        <v>15966.220000000001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>
        <f>1041.6*5.3</f>
        <v>5520.48</v>
      </c>
      <c r="AL10" s="8">
        <f>2237*5.9</f>
        <v>13198.300000000001</v>
      </c>
      <c r="AM10" s="8"/>
      <c r="AN10" s="8">
        <f>538+1020+1065+969+963+150</f>
        <v>4705</v>
      </c>
      <c r="AO10" s="7">
        <f>460+186.28</f>
        <v>646.28</v>
      </c>
      <c r="AP10" s="7"/>
      <c r="AQ10" s="7">
        <v>16682.86</v>
      </c>
      <c r="AR10" s="8"/>
    </row>
    <row r="11" spans="1:44" ht="12.75">
      <c r="A11" s="10"/>
      <c r="B11" s="9"/>
      <c r="C11" s="1" t="s">
        <v>59</v>
      </c>
      <c r="D11" s="1">
        <f>J11/9</f>
        <v>343</v>
      </c>
      <c r="E11" s="8">
        <f>SUM(F11:AQ11)</f>
        <v>113108.31199999999</v>
      </c>
      <c r="F11" s="8">
        <f>6756*1.4</f>
        <v>9458.4</v>
      </c>
      <c r="G11" s="8">
        <f>(68+33+145+124)*18+108*10</f>
        <v>7740</v>
      </c>
      <c r="H11" s="8">
        <f>(157+161+282+359)*8.07</f>
        <v>7739.13</v>
      </c>
      <c r="I11" s="8">
        <f>50*6.5+47*(9.5+6)+50*(8-6)</f>
        <v>1153.5</v>
      </c>
      <c r="J11" s="8">
        <f>(50+97+100+96)*9</f>
        <v>3087</v>
      </c>
      <c r="K11" s="8">
        <f>5679*0.23</f>
        <v>1306.17</v>
      </c>
      <c r="L11" s="8">
        <f>3278.6*2.6+622.8*2.6</f>
        <v>10143.640000000001</v>
      </c>
      <c r="M11" s="8">
        <f>429*8.07</f>
        <v>3462.03</v>
      </c>
      <c r="N11" s="8">
        <f>169*9</f>
        <v>1521</v>
      </c>
      <c r="O11" s="8">
        <f>3278.6*0.07+0.04</f>
        <v>229.542</v>
      </c>
      <c r="P11" s="8">
        <f>106*8.07</f>
        <v>855.4200000000001</v>
      </c>
      <c r="Q11" s="8">
        <f>29*9</f>
        <v>261</v>
      </c>
      <c r="R11" s="8">
        <f>415.2*0.08-0.016</f>
        <v>33.2</v>
      </c>
      <c r="S11" s="8">
        <f>74+153+149+143+253+45</f>
        <v>817</v>
      </c>
      <c r="T11" s="8">
        <f>6756*1</f>
        <v>6756</v>
      </c>
      <c r="U11" s="8">
        <f>3278.6*0.5</f>
        <v>1639.3</v>
      </c>
      <c r="V11" s="8">
        <f>622.8*0.3</f>
        <v>186.84</v>
      </c>
      <c r="W11" s="8">
        <f>6756*1.4+3278.6*1.7+622.8*1.5</f>
        <v>15966.220000000001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>
        <f>1041.6*5.3</f>
        <v>5520.48</v>
      </c>
      <c r="AL11" s="8">
        <f>2237*5.9</f>
        <v>13198.300000000001</v>
      </c>
      <c r="AM11" s="8"/>
      <c r="AN11" s="8">
        <f>538+1020+1065+969+963+150</f>
        <v>4705</v>
      </c>
      <c r="AO11" s="8">
        <f>460+186.28</f>
        <v>646.28</v>
      </c>
      <c r="AP11" s="8"/>
      <c r="AQ11" s="7">
        <v>16682.86</v>
      </c>
      <c r="AR11" s="8"/>
    </row>
    <row r="12" spans="1:44" ht="12.75">
      <c r="A12" s="10"/>
      <c r="B12" s="9"/>
      <c r="C12" s="1" t="s">
        <v>60</v>
      </c>
      <c r="D12" s="1">
        <f>J12/9</f>
        <v>343</v>
      </c>
      <c r="E12" s="8">
        <f>SUM(F12:AQ12)</f>
        <v>113628.39199999999</v>
      </c>
      <c r="F12" s="8">
        <f>6756*1.4</f>
        <v>9458.4</v>
      </c>
      <c r="G12" s="8">
        <f>(64+93+122+96)*18+108*10</f>
        <v>7830</v>
      </c>
      <c r="H12" s="8">
        <f>(138+243+296+251)*8.37</f>
        <v>7767.36</v>
      </c>
      <c r="I12" s="8">
        <f>50*6.5+47*9.5+50*8</f>
        <v>1171.5</v>
      </c>
      <c r="J12" s="8">
        <f>(50+97+100+96)*9</f>
        <v>3087</v>
      </c>
      <c r="K12" s="8">
        <f>5679*0.23</f>
        <v>1306.17</v>
      </c>
      <c r="L12" s="8">
        <f>3278.6*2.6+622.8*2.6</f>
        <v>10143.640000000001</v>
      </c>
      <c r="M12" s="8">
        <f>414*8.37</f>
        <v>3465.18</v>
      </c>
      <c r="N12" s="8">
        <f>169*9</f>
        <v>1521</v>
      </c>
      <c r="O12" s="8">
        <f>3278.6*0.07+0.04</f>
        <v>229.542</v>
      </c>
      <c r="P12" s="8">
        <f>76*8.37</f>
        <v>636.1199999999999</v>
      </c>
      <c r="Q12" s="8">
        <f>29*9</f>
        <v>261</v>
      </c>
      <c r="R12" s="8">
        <f>415.2*0.08-0.016</f>
        <v>33.2</v>
      </c>
      <c r="S12" s="8">
        <f>74+153+149+143+253+45</f>
        <v>817</v>
      </c>
      <c r="T12" s="8">
        <f>6756*1</f>
        <v>6756</v>
      </c>
      <c r="U12" s="8">
        <f>3278.6*0.5</f>
        <v>1639.3</v>
      </c>
      <c r="V12" s="8">
        <f>622.8*0.3</f>
        <v>186.84</v>
      </c>
      <c r="W12" s="8">
        <f>6756*1.4+3278.6*1.7+622.8*1.5</f>
        <v>15966.220000000001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>
        <f>1041.6*5.3</f>
        <v>5520.48</v>
      </c>
      <c r="AL12" s="8">
        <f>2237*5.9</f>
        <v>13198.300000000001</v>
      </c>
      <c r="AM12" s="8"/>
      <c r="AN12" s="8">
        <f>538+1020+1065+969+963+150</f>
        <v>4705</v>
      </c>
      <c r="AO12" s="8">
        <f>460+186.28</f>
        <v>646.28</v>
      </c>
      <c r="AP12" s="8">
        <v>600</v>
      </c>
      <c r="AQ12" s="7">
        <v>16682.86</v>
      </c>
      <c r="AR12" s="8"/>
    </row>
    <row r="13" spans="1:44" ht="12.75">
      <c r="A13" s="10"/>
      <c r="B13" s="9"/>
      <c r="C13" s="1" t="s">
        <v>61</v>
      </c>
      <c r="D13" s="1">
        <f>J13/9</f>
        <v>332</v>
      </c>
      <c r="E13" s="8">
        <f>SUM(F13:AQ13)</f>
        <v>111349.562</v>
      </c>
      <c r="F13" s="8">
        <f>6756*1.4</f>
        <v>9458.4</v>
      </c>
      <c r="G13" s="8">
        <f>(53+91+81+90)*18+108*10</f>
        <v>6750</v>
      </c>
      <c r="H13" s="8">
        <f>(147+240+225+234)*8.37</f>
        <v>7081.0199999999995</v>
      </c>
      <c r="I13" s="8">
        <f>50*6.5+47*9.5+47*8</f>
        <v>1147.5</v>
      </c>
      <c r="J13" s="8">
        <f>(50+94+93+95)*9</f>
        <v>2988</v>
      </c>
      <c r="K13" s="8">
        <f>5679*0.23</f>
        <v>1306.17</v>
      </c>
      <c r="L13" s="8">
        <f>3278.6*2.6+622.8*2.6</f>
        <v>10143.640000000001</v>
      </c>
      <c r="M13" s="8">
        <f>409*8.37</f>
        <v>3423.3299999999995</v>
      </c>
      <c r="N13" s="8">
        <f>169*9</f>
        <v>1521</v>
      </c>
      <c r="O13" s="8">
        <f>3278.6*0.07+0.04</f>
        <v>229.542</v>
      </c>
      <c r="P13" s="8">
        <f>104*8.37</f>
        <v>870.4799999999999</v>
      </c>
      <c r="Q13" s="8">
        <f>31*9</f>
        <v>279</v>
      </c>
      <c r="R13" s="8">
        <f>415.2*0.08-0.016</f>
        <v>33.2</v>
      </c>
      <c r="S13" s="8">
        <f>74+153+149+143+253+45</f>
        <v>817</v>
      </c>
      <c r="T13" s="8">
        <f>6756*1</f>
        <v>6756</v>
      </c>
      <c r="U13" s="8">
        <f>3278.6*0.5</f>
        <v>1639.3</v>
      </c>
      <c r="V13" s="8">
        <f>622.8*0.3</f>
        <v>186.84</v>
      </c>
      <c r="W13" s="8">
        <f>6756*1.4+3278.6*1.7+622.8*1.5</f>
        <v>15966.220000000001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>
        <f>1041.6*5.3</f>
        <v>5520.48</v>
      </c>
      <c r="AL13" s="8">
        <f>2237*5.9</f>
        <v>13198.300000000001</v>
      </c>
      <c r="AM13" s="8"/>
      <c r="AN13" s="8">
        <f>538+1020+1065+969+963+150</f>
        <v>4705</v>
      </c>
      <c r="AO13" s="8">
        <f>460+186.28</f>
        <v>646.28</v>
      </c>
      <c r="AP13" s="8"/>
      <c r="AQ13" s="7">
        <v>16682.86</v>
      </c>
      <c r="AR13" s="8"/>
    </row>
    <row r="14" spans="1:44" ht="12.75">
      <c r="A14" s="10"/>
      <c r="B14" s="9"/>
      <c r="C14" s="1" t="s">
        <v>62</v>
      </c>
      <c r="D14" s="1">
        <f>J14/9</f>
        <v>332</v>
      </c>
      <c r="E14" s="8">
        <f>SUM(F14:AQ14)</f>
        <v>109097.222</v>
      </c>
      <c r="F14" s="8">
        <f>6756*1.4-5911.09</f>
        <v>3547.3099999999995</v>
      </c>
      <c r="G14" s="8">
        <f>(46+68+68+69)*18+108*10</f>
        <v>5598</v>
      </c>
      <c r="H14" s="8">
        <f>(145+215+195+213)*8.37</f>
        <v>6428.16</v>
      </c>
      <c r="I14" s="8">
        <f>50*6.5+47*9.5+47*8</f>
        <v>1147.5</v>
      </c>
      <c r="J14" s="8">
        <f>(50+94+93+95)*9</f>
        <v>2988</v>
      </c>
      <c r="K14" s="8">
        <f>5679*0.23</f>
        <v>1306.17</v>
      </c>
      <c r="L14" s="8">
        <f>3278.6*2.6+622.8*2.6+5588.53</f>
        <v>15732.170000000002</v>
      </c>
      <c r="M14" s="8">
        <f>414*8.37</f>
        <v>3465.18</v>
      </c>
      <c r="N14" s="8">
        <f>170*9</f>
        <v>1530</v>
      </c>
      <c r="O14" s="8">
        <f>3278.6*0.07+0.04</f>
        <v>229.542</v>
      </c>
      <c r="P14" s="8">
        <f>83*8.37</f>
        <v>694.7099999999999</v>
      </c>
      <c r="Q14" s="8">
        <f>31*9</f>
        <v>279</v>
      </c>
      <c r="R14" s="8">
        <f>415.2*0.08-0.016</f>
        <v>33.2</v>
      </c>
      <c r="S14" s="8">
        <f>74+153+149+143+253+45</f>
        <v>817</v>
      </c>
      <c r="T14" s="8">
        <f>6756*1</f>
        <v>6756</v>
      </c>
      <c r="U14" s="8">
        <f>3278.6*0.5</f>
        <v>1639.3</v>
      </c>
      <c r="V14" s="8">
        <f>622.8*0.3</f>
        <v>186.84</v>
      </c>
      <c r="W14" s="8">
        <f>6756*1.4+3278.6*1.7+622.8*1.5</f>
        <v>15966.220000000001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>
        <f>1041.6*5.3</f>
        <v>5520.48</v>
      </c>
      <c r="AL14" s="8">
        <f>2237*5.9</f>
        <v>13198.300000000001</v>
      </c>
      <c r="AM14" s="8"/>
      <c r="AN14" s="8">
        <f>538+1020+1065+969+963+150</f>
        <v>4705</v>
      </c>
      <c r="AO14" s="8">
        <f>460+186.28</f>
        <v>646.28</v>
      </c>
      <c r="AP14" s="8"/>
      <c r="AQ14" s="7">
        <v>16682.86</v>
      </c>
      <c r="AR14" s="8"/>
    </row>
    <row r="15" spans="1:44" ht="12.75">
      <c r="A15" s="10"/>
      <c r="B15" s="9"/>
      <c r="C15" s="1" t="s">
        <v>63</v>
      </c>
      <c r="D15" s="1">
        <f>J15/9</f>
        <v>332</v>
      </c>
      <c r="E15" s="8">
        <f>SUM(F15:AQ15)</f>
        <v>111496.34199999999</v>
      </c>
      <c r="F15" s="8">
        <f>6756*1.4</f>
        <v>9458.4</v>
      </c>
      <c r="G15" s="8">
        <f>(57+89+75+82)*18+108*10</f>
        <v>6534</v>
      </c>
      <c r="H15" s="8">
        <f>(146+242+222+225)*8.37</f>
        <v>6988.949999999999</v>
      </c>
      <c r="I15" s="8">
        <f>50*6.5+47*9.5+47*8</f>
        <v>1147.5</v>
      </c>
      <c r="J15" s="8">
        <f>(50+94+93+95)*9</f>
        <v>2988</v>
      </c>
      <c r="K15" s="8">
        <f>5679*0.23</f>
        <v>1306.17</v>
      </c>
      <c r="L15" s="8">
        <f>3278.6*2.6+622.8*2.6</f>
        <v>10143.640000000001</v>
      </c>
      <c r="M15" s="8">
        <f>357*8.37</f>
        <v>2988.0899999999997</v>
      </c>
      <c r="N15" s="8">
        <f>166*9</f>
        <v>1494</v>
      </c>
      <c r="O15" s="8">
        <f>3278.6*0.07+0.04</f>
        <v>229.542</v>
      </c>
      <c r="P15" s="8">
        <f>70*8.37</f>
        <v>585.9</v>
      </c>
      <c r="Q15" s="8">
        <f>31*9</f>
        <v>279</v>
      </c>
      <c r="R15" s="8">
        <f>415.2*0.08-0.016</f>
        <v>33.2</v>
      </c>
      <c r="S15" s="8">
        <f>74+153+149+143+253+45</f>
        <v>817</v>
      </c>
      <c r="T15" s="8">
        <f>6756*1</f>
        <v>6756</v>
      </c>
      <c r="U15" s="8">
        <f>3278.6*0.5</f>
        <v>1639.3</v>
      </c>
      <c r="V15" s="8">
        <f>622.8*0.3</f>
        <v>186.84</v>
      </c>
      <c r="W15" s="8">
        <f>6756*1.4+3278.6*1.7+622.8*1.5</f>
        <v>15966.220000000001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>
        <f>1041.6*5.3</f>
        <v>5520.48</v>
      </c>
      <c r="AL15" s="8">
        <f>2237*5.9</f>
        <v>13198.300000000001</v>
      </c>
      <c r="AM15" s="8"/>
      <c r="AN15" s="8">
        <f>538+1020+1065+969+963+150</f>
        <v>4705</v>
      </c>
      <c r="AO15" s="8">
        <f>570.9+330.77+646.28</f>
        <v>1547.9499999999998</v>
      </c>
      <c r="AP15" s="8">
        <v>300</v>
      </c>
      <c r="AQ15" s="7">
        <v>16682.86</v>
      </c>
      <c r="AR15" s="8"/>
    </row>
    <row r="16" spans="1:44" ht="12.75">
      <c r="A16" s="10"/>
      <c r="B16" s="9"/>
      <c r="C16" s="1" t="s">
        <v>64</v>
      </c>
      <c r="D16" s="1">
        <f>J16/9</f>
        <v>333</v>
      </c>
      <c r="E16" s="8">
        <f>SUM(F16:AQ16)</f>
        <v>118135.672</v>
      </c>
      <c r="F16" s="8">
        <f>6756*2.1</f>
        <v>14187.6</v>
      </c>
      <c r="G16" s="8">
        <f>(47+105+89+82)*18+108*10</f>
        <v>6894</v>
      </c>
      <c r="H16" s="8">
        <f>(132+251+244+223)*8.37</f>
        <v>7114.499999999999</v>
      </c>
      <c r="I16" s="8">
        <f>50*6.5+47*9.5+47*8</f>
        <v>1147.5</v>
      </c>
      <c r="J16" s="8">
        <f>(50+94+94+95)*9</f>
        <v>2997</v>
      </c>
      <c r="K16" s="8">
        <f>5679*0.23</f>
        <v>1306.17</v>
      </c>
      <c r="L16" s="8">
        <f>3278.6*2.6+622.8*2.6</f>
        <v>10143.640000000001</v>
      </c>
      <c r="M16" s="8">
        <f>393*8.37</f>
        <v>3289.41</v>
      </c>
      <c r="N16" s="8">
        <f>166*9</f>
        <v>1494</v>
      </c>
      <c r="O16" s="8">
        <f>3278.6*0.07+0.04</f>
        <v>229.542</v>
      </c>
      <c r="P16" s="8">
        <f>88*8.37</f>
        <v>736.56</v>
      </c>
      <c r="Q16" s="8">
        <f>31*9</f>
        <v>279</v>
      </c>
      <c r="R16" s="8">
        <f>415.2*0.08-0.016</f>
        <v>33.2</v>
      </c>
      <c r="S16" s="8">
        <f>74+153+149+143+253+45</f>
        <v>817</v>
      </c>
      <c r="T16" s="8">
        <f>6756*1</f>
        <v>6756</v>
      </c>
      <c r="U16" s="8">
        <f>3278.6*0.5</f>
        <v>1639.3</v>
      </c>
      <c r="V16" s="8">
        <f>622.8*0.3</f>
        <v>186.84</v>
      </c>
      <c r="W16" s="8">
        <f>6756*1.4+3278.6*1.7+622.8*1.5</f>
        <v>15966.220000000001</v>
      </c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>
        <f>1041.6*5.3</f>
        <v>5520.48</v>
      </c>
      <c r="AL16" s="8">
        <f>2237*5.9</f>
        <v>13198.300000000001</v>
      </c>
      <c r="AM16" s="8">
        <f>21.76+67.32+340.68+308.72+537.99</f>
        <v>1276.47</v>
      </c>
      <c r="AN16" s="8">
        <f>538+1020+1065+969+963+150</f>
        <v>4705</v>
      </c>
      <c r="AO16" s="8">
        <v>646.28</v>
      </c>
      <c r="AP16" s="8"/>
      <c r="AQ16" s="8">
        <f>16682.86+888.8</f>
        <v>17571.66</v>
      </c>
      <c r="AR16" s="8"/>
    </row>
    <row r="17" spans="1:44" ht="12.75">
      <c r="A17" s="10"/>
      <c r="B17" s="9"/>
      <c r="C17" s="1" t="s">
        <v>65</v>
      </c>
      <c r="D17" s="1">
        <f>J17/9</f>
        <v>327</v>
      </c>
      <c r="E17" s="8">
        <f>SUM(F17:AQ17)</f>
        <v>116554.77200000001</v>
      </c>
      <c r="F17" s="8">
        <f>6756*2.1</f>
        <v>14187.6</v>
      </c>
      <c r="G17" s="8">
        <f>(52+81+75+90)*18+108*10</f>
        <v>6444</v>
      </c>
      <c r="H17" s="8">
        <f>(127+241+230+243)*8.37</f>
        <v>7039.169999999999</v>
      </c>
      <c r="I17" s="8">
        <f>50*6.5+47*9.5+46*8</f>
        <v>1139.5</v>
      </c>
      <c r="J17" s="8">
        <f>(50+93+94+90)*9</f>
        <v>2943</v>
      </c>
      <c r="K17" s="8">
        <f>5679*0.23</f>
        <v>1306.17</v>
      </c>
      <c r="L17" s="8">
        <f>3278.6*2.6+622.8*2.6</f>
        <v>10143.640000000001</v>
      </c>
      <c r="M17" s="8">
        <f>402*8.37</f>
        <v>3364.74</v>
      </c>
      <c r="N17" s="8">
        <f>170*9</f>
        <v>1530</v>
      </c>
      <c r="O17" s="8">
        <f>3278.6*0.07+0.04</f>
        <v>229.542</v>
      </c>
      <c r="P17" s="8">
        <f>93*8.37</f>
        <v>778.41</v>
      </c>
      <c r="Q17" s="8">
        <f>30*9</f>
        <v>270</v>
      </c>
      <c r="R17" s="8">
        <f>415.2*0.08-0.016</f>
        <v>33.2</v>
      </c>
      <c r="S17" s="8">
        <f>74+153+149+143+253+45</f>
        <v>817</v>
      </c>
      <c r="T17" s="8">
        <f>6756*1</f>
        <v>6756</v>
      </c>
      <c r="U17" s="8">
        <f>3278.6*0.5</f>
        <v>1639.3</v>
      </c>
      <c r="V17" s="8">
        <f>622.8*0.3</f>
        <v>186.84</v>
      </c>
      <c r="W17" s="8">
        <f>6756*1.4+3278.6*1.7+622.8*1.5</f>
        <v>15966.220000000001</v>
      </c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>
        <f>1041.6*5.3</f>
        <v>5520.48</v>
      </c>
      <c r="AL17" s="8">
        <f>2237*5.9</f>
        <v>13198.300000000001</v>
      </c>
      <c r="AM17" s="8">
        <v>138.72</v>
      </c>
      <c r="AN17" s="8">
        <f>538+1020+1065+969+963+150</f>
        <v>4705</v>
      </c>
      <c r="AO17" s="8">
        <v>646.28</v>
      </c>
      <c r="AP17" s="8"/>
      <c r="AQ17" s="8">
        <f>16682.86+888.8</f>
        <v>17571.66</v>
      </c>
      <c r="AR17" s="8"/>
    </row>
    <row r="18" spans="1:44" ht="12.75">
      <c r="A18" s="10"/>
      <c r="B18" s="9"/>
      <c r="C18" s="1" t="s">
        <v>66</v>
      </c>
      <c r="D18" s="1">
        <f>J18/9</f>
        <v>327</v>
      </c>
      <c r="E18" s="8">
        <f>SUM(F18:AQ18)</f>
        <v>116302.792</v>
      </c>
      <c r="F18" s="8">
        <f>6756*2.1</f>
        <v>14187.6</v>
      </c>
      <c r="G18" s="8">
        <f>(59+90+70+82)*18+108*10</f>
        <v>6498</v>
      </c>
      <c r="H18" s="8">
        <f>(137+244+214+197)*8.37</f>
        <v>6629.039999999999</v>
      </c>
      <c r="I18" s="8">
        <f>50*6.5+47*9.5+46*8</f>
        <v>1139.5</v>
      </c>
      <c r="J18" s="8">
        <f>(50+93+94+90)*9</f>
        <v>2943</v>
      </c>
      <c r="K18" s="8">
        <f>5679*0.23</f>
        <v>1306.17</v>
      </c>
      <c r="L18" s="8">
        <f>3278.6*2.6+622.8*2.6</f>
        <v>10143.640000000001</v>
      </c>
      <c r="M18" s="8">
        <f>394*8.37</f>
        <v>3297.7799999999997</v>
      </c>
      <c r="N18" s="8">
        <f>170*9</f>
        <v>1530</v>
      </c>
      <c r="O18" s="8">
        <f>3278.6*0.07+0.04</f>
        <v>229.542</v>
      </c>
      <c r="P18" s="8">
        <f>89*8.37</f>
        <v>744.93</v>
      </c>
      <c r="Q18" s="8">
        <f>30*9</f>
        <v>270</v>
      </c>
      <c r="R18" s="8">
        <f>415.2*0.08-0.016</f>
        <v>33.2</v>
      </c>
      <c r="S18" s="8">
        <f>74+153+149+143+253+45</f>
        <v>817</v>
      </c>
      <c r="T18" s="8">
        <f>6756*1</f>
        <v>6756</v>
      </c>
      <c r="U18" s="8">
        <f>3278.6*0.5</f>
        <v>1639.3</v>
      </c>
      <c r="V18" s="8">
        <f>622.8*0.3</f>
        <v>186.84</v>
      </c>
      <c r="W18" s="8">
        <f>6756*1.4+3278.6*1.7+622.8*1.5</f>
        <v>15966.220000000001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>
        <f>1041.6*5.3</f>
        <v>5520.48</v>
      </c>
      <c r="AL18" s="8">
        <f>2237*5.9</f>
        <v>13198.300000000001</v>
      </c>
      <c r="AM18" s="8"/>
      <c r="AN18" s="8">
        <f>538+1020+1065+969+963+150</f>
        <v>4705</v>
      </c>
      <c r="AO18" s="8">
        <v>646.28</v>
      </c>
      <c r="AP18" s="8">
        <f>300+43.31</f>
        <v>343.31</v>
      </c>
      <c r="AQ18" s="8">
        <f>16682.86+888.8</f>
        <v>17571.66</v>
      </c>
      <c r="AR18" s="8"/>
    </row>
    <row r="19" spans="1:44" ht="12.75">
      <c r="A19" s="10"/>
      <c r="B19" s="9"/>
      <c r="C19" s="1" t="s">
        <v>67</v>
      </c>
      <c r="D19" s="1"/>
      <c r="E19" s="11">
        <f>SUM(F19:AO19)</f>
        <v>1185515.964</v>
      </c>
      <c r="F19" s="8">
        <f>SUM(F6:F18)</f>
        <v>154216.75999999998</v>
      </c>
      <c r="G19" s="8">
        <f>SUM(G6:G18)</f>
        <v>77316.39</v>
      </c>
      <c r="H19" s="8">
        <f>SUM(H6:H18)</f>
        <v>69559.28999999998</v>
      </c>
      <c r="I19" s="8">
        <f>SUM(I6:I18)</f>
        <v>14384.36</v>
      </c>
      <c r="J19" s="8">
        <f>SUM(J6:J18)</f>
        <v>36657</v>
      </c>
      <c r="K19" s="8">
        <f>SUM(K6:K18)</f>
        <v>15628.850000000002</v>
      </c>
      <c r="L19" s="8">
        <f>SUM(L6:L18)</f>
        <v>129687.66</v>
      </c>
      <c r="M19" s="8">
        <f>SUM(M6:M18)</f>
        <v>40248.94999999999</v>
      </c>
      <c r="N19" s="8">
        <f>SUM(N6:N18)</f>
        <v>18111</v>
      </c>
      <c r="O19" s="8">
        <f>SUM(O6:O18)</f>
        <v>2797.6639999999993</v>
      </c>
      <c r="P19" s="8">
        <f>SUM(P6:P18)</f>
        <v>7281.809999999999</v>
      </c>
      <c r="Q19" s="8">
        <f>SUM(Q6:Q18)</f>
        <v>3294</v>
      </c>
      <c r="R19" s="8">
        <f>SUM(R6:R18)</f>
        <v>401.05999999999995</v>
      </c>
      <c r="S19" s="8">
        <f>SUM(S6:S18)</f>
        <v>-27774.519999999997</v>
      </c>
      <c r="T19" s="8">
        <f>SUM(T6:T18)</f>
        <v>141182.94</v>
      </c>
      <c r="U19" s="8">
        <f>SUM(U6:U18)</f>
        <v>23469.349999999995</v>
      </c>
      <c r="V19" s="8">
        <f>SUM(V6:V18)</f>
        <v>4029.66</v>
      </c>
      <c r="W19" s="8">
        <f>SUM(W6:W18)</f>
        <v>191043.80000000002</v>
      </c>
      <c r="X19" s="8">
        <f>SUM(X6:X18)</f>
        <v>0</v>
      </c>
      <c r="Y19" s="8">
        <f>SUM(Y6:Y18)</f>
        <v>0</v>
      </c>
      <c r="Z19" s="8">
        <f>SUM(Z6:Z18)</f>
        <v>0</v>
      </c>
      <c r="AA19" s="8">
        <f>SUM(AA6:AA18)</f>
        <v>0</v>
      </c>
      <c r="AB19" s="8">
        <f>SUM(AB6:AB18)</f>
        <v>0</v>
      </c>
      <c r="AC19" s="8">
        <f>SUM(AC6:AC18)</f>
        <v>0</v>
      </c>
      <c r="AD19" s="8">
        <f>SUM(AD6:AD18)</f>
        <v>0</v>
      </c>
      <c r="AE19" s="8">
        <f>SUM(AE6:AE18)</f>
        <v>0</v>
      </c>
      <c r="AF19" s="8">
        <f>SUM(AF6:AF18)</f>
        <v>0</v>
      </c>
      <c r="AG19" s="8">
        <f>SUM(AG6:AG18)</f>
        <v>0</v>
      </c>
      <c r="AH19" s="8">
        <f>SUM(AH6:AH18)</f>
        <v>0</v>
      </c>
      <c r="AI19" s="8">
        <f>SUM(AI6:AI18)</f>
        <v>0</v>
      </c>
      <c r="AJ19" s="8">
        <f>SUM(AJ6:AJ18)</f>
        <v>0</v>
      </c>
      <c r="AK19" s="8">
        <f>SUM(AK6:AK18)</f>
        <v>66245.75999999998</v>
      </c>
      <c r="AL19" s="8">
        <f>SUM(AL6:AL18)</f>
        <v>158379.59999999998</v>
      </c>
      <c r="AM19" s="8">
        <f>SUM(AM6:AM18)</f>
        <v>1415.19</v>
      </c>
      <c r="AN19" s="8">
        <f>SUM(AN6:AN18)</f>
        <v>49222.15</v>
      </c>
      <c r="AO19" s="8">
        <f>SUM(AO6:AO18)</f>
        <v>8717.239999999998</v>
      </c>
      <c r="AP19" s="8">
        <f>SUM(AP6:AP18)</f>
        <v>1243.31</v>
      </c>
      <c r="AQ19" s="8">
        <f>SUM(AQ6:AQ18)</f>
        <v>202860.72000000003</v>
      </c>
      <c r="AR19" s="8">
        <f>SUM(AR6:AR18)</f>
        <v>0</v>
      </c>
    </row>
    <row r="20" spans="1:44" ht="12.75">
      <c r="A20" s="10"/>
      <c r="B20" s="9"/>
      <c r="C20" s="12" t="s">
        <v>68</v>
      </c>
      <c r="D20" s="13">
        <f>SUM(D6:D18)</f>
        <v>4042</v>
      </c>
      <c r="E20" s="14">
        <f>SUM(E6:E18)</f>
        <v>1354426.1339999998</v>
      </c>
      <c r="F20" s="15">
        <f>SUM(F7:F18)</f>
        <v>140694.11000000002</v>
      </c>
      <c r="G20" s="16">
        <f>SUM(G7:G18)</f>
        <v>83718</v>
      </c>
      <c r="H20" s="15">
        <f>SUM(H7:H18)</f>
        <v>84475.49999999999</v>
      </c>
      <c r="I20" s="15">
        <f>SUM(I7:I18)</f>
        <v>13910.5</v>
      </c>
      <c r="J20" s="15">
        <f>SUM(J7:J18)</f>
        <v>36378</v>
      </c>
      <c r="K20" s="15">
        <f>SUM(K7:K18)</f>
        <v>15760.980000000001</v>
      </c>
      <c r="L20" s="15">
        <f>SUM(L7:L18)</f>
        <v>127312.21</v>
      </c>
      <c r="M20" s="15">
        <f>SUM(M7:M18)</f>
        <v>39691.95</v>
      </c>
      <c r="N20" s="15">
        <f>SUM(N7:N18)</f>
        <v>18180</v>
      </c>
      <c r="O20" s="15">
        <f>SUM(O7:O18)</f>
        <v>2754.5039999999995</v>
      </c>
      <c r="P20" s="15">
        <f>SUM(P7:P18)</f>
        <v>9138.6</v>
      </c>
      <c r="Q20" s="15">
        <f>SUM(Q7:Q18)</f>
        <v>3168</v>
      </c>
      <c r="R20" s="15">
        <f>SUM(R7:R18)</f>
        <v>398.3999999999999</v>
      </c>
      <c r="S20" s="15">
        <f>SUM(S7:S18)</f>
        <v>9804</v>
      </c>
      <c r="T20" s="15">
        <f>SUM(T7:T18)</f>
        <v>81072</v>
      </c>
      <c r="U20" s="15">
        <f>SUM(U7:U18)</f>
        <v>19671.599999999995</v>
      </c>
      <c r="V20" s="15">
        <f>SUM(V7:V18)</f>
        <v>2242.08</v>
      </c>
      <c r="W20" s="15">
        <f>SUM(W7:W18)</f>
        <v>191594.64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44" ht="12.75">
      <c r="A21" s="10"/>
      <c r="B21" s="9"/>
      <c r="C21" s="1" t="s">
        <v>0</v>
      </c>
      <c r="D21" s="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12.75">
      <c r="A22" s="10"/>
      <c r="B22" s="9"/>
      <c r="C22" s="12"/>
      <c r="D22" s="17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</row>
    <row r="23" spans="1:44" ht="12.75">
      <c r="A23" s="10"/>
      <c r="B23" s="9"/>
      <c r="C23" s="12"/>
      <c r="D23" s="17"/>
      <c r="E23" s="15">
        <f>E19-E25-AK19-AL19+AQ19+AS19+AK25+AL25</f>
        <v>1163751.324</v>
      </c>
      <c r="F23" s="15">
        <f>F19-F25</f>
        <v>154216.75999999998</v>
      </c>
      <c r="G23" s="15">
        <f>G19-G25</f>
        <v>77316.39</v>
      </c>
      <c r="H23" s="15">
        <f>H19-H25</f>
        <v>69559.28999999998</v>
      </c>
      <c r="I23" s="15">
        <f>I19-I25</f>
        <v>14384.36</v>
      </c>
      <c r="J23" s="15">
        <f>J19-J25</f>
        <v>36657</v>
      </c>
      <c r="K23" s="15"/>
      <c r="L23" s="15">
        <f>L19-L25</f>
        <v>129687.66</v>
      </c>
      <c r="M23" s="15">
        <f>M19-M25</f>
        <v>40248.94999999999</v>
      </c>
      <c r="N23" s="15">
        <f>N19-N25</f>
        <v>18111</v>
      </c>
      <c r="O23" s="15"/>
      <c r="P23" s="15">
        <f>P19-P25</f>
        <v>7281.809999999999</v>
      </c>
      <c r="Q23" s="15">
        <f>Q19-Q25</f>
        <v>3294</v>
      </c>
      <c r="R23" s="15"/>
      <c r="S23" s="15"/>
      <c r="T23" s="15">
        <f>T19-T25</f>
        <v>141182.94</v>
      </c>
      <c r="U23" s="15">
        <f>U19-U25</f>
        <v>23469.349999999995</v>
      </c>
      <c r="V23" s="15">
        <f>V19-V25</f>
        <v>4029.66</v>
      </c>
      <c r="W23" s="15">
        <f>W19-W25+AN19+AO19+AQ19</f>
        <v>451843.91000000003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</row>
    <row r="24" spans="1:44" ht="12.75">
      <c r="A24" s="10"/>
      <c r="B24" s="9"/>
      <c r="C24" s="1"/>
      <c r="D24" s="9"/>
      <c r="E24" s="8">
        <f>SUM(F25:W25)</f>
        <v>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2.75">
      <c r="A25" s="10"/>
      <c r="B25" s="9"/>
      <c r="C25" s="12" t="s">
        <v>0</v>
      </c>
      <c r="D25" s="17"/>
      <c r="E25" s="15">
        <f>SUM(E26:E748)</f>
        <v>0</v>
      </c>
      <c r="F25" s="15">
        <f>SUM(F26:F758)</f>
        <v>0</v>
      </c>
      <c r="G25" s="15">
        <f>SUM(G26:G748)</f>
        <v>0</v>
      </c>
      <c r="H25" s="15">
        <f>SUM(H26:H748)</f>
        <v>0</v>
      </c>
      <c r="I25" s="15">
        <f>SUM(I26:I748)</f>
        <v>0</v>
      </c>
      <c r="J25" s="15">
        <f>SUM(J26:J748)</f>
        <v>0</v>
      </c>
      <c r="K25" s="15"/>
      <c r="L25" s="15">
        <f>SUM(L26:L748)</f>
        <v>0</v>
      </c>
      <c r="M25" s="15">
        <f>SUM(M26:M748)</f>
        <v>0</v>
      </c>
      <c r="N25" s="15">
        <f>SUM(N26:N748)</f>
        <v>0</v>
      </c>
      <c r="O25" s="15"/>
      <c r="P25" s="15">
        <f>SUM(P26:P748)</f>
        <v>0</v>
      </c>
      <c r="Q25" s="15">
        <f>SUM(Q26:Q748)</f>
        <v>0</v>
      </c>
      <c r="R25" s="15"/>
      <c r="S25" s="15"/>
      <c r="T25" s="15">
        <f>SUM(T26:T748)</f>
        <v>0</v>
      </c>
      <c r="U25" s="15">
        <f>SUM(U26:U748)</f>
        <v>0</v>
      </c>
      <c r="V25" s="15">
        <f>SUM(V26:V748)</f>
        <v>0</v>
      </c>
      <c r="W25" s="15">
        <f>SUM(W26:W748)</f>
        <v>0</v>
      </c>
      <c r="X25" s="15">
        <f>SUM(X26:X748)</f>
        <v>0</v>
      </c>
      <c r="Y25" s="15">
        <f>SUM(Y26:Y748)</f>
        <v>0</v>
      </c>
      <c r="Z25" s="15">
        <f>SUM(Z26:Z748)</f>
        <v>0</v>
      </c>
      <c r="AA25" s="15">
        <f>SUM(AA26:AA748)</f>
        <v>0</v>
      </c>
      <c r="AB25" s="15">
        <f>SUM(AB26:AB748)</f>
        <v>0</v>
      </c>
      <c r="AC25" s="15">
        <f>SUM(AC26:AC748)</f>
        <v>0</v>
      </c>
      <c r="AD25" s="15">
        <f>SUM(AD26:AD748)</f>
        <v>0</v>
      </c>
      <c r="AE25" s="15">
        <f>SUM(AE26:AE748)</f>
        <v>0</v>
      </c>
      <c r="AF25" s="15">
        <f>SUM(AF26:AF748)</f>
        <v>0</v>
      </c>
      <c r="AG25" s="15">
        <f>SUM(AG26:AG748)</f>
        <v>0</v>
      </c>
      <c r="AH25" s="15">
        <f>SUM(AH26:AH748)</f>
        <v>0</v>
      </c>
      <c r="AI25" s="15">
        <f>SUM(AI26:AI748)</f>
        <v>0</v>
      </c>
      <c r="AJ25" s="15">
        <f>SUM(AJ26:AJ748)</f>
        <v>0</v>
      </c>
      <c r="AK25" s="15">
        <f>SUM(AK26:AK748)</f>
        <v>0</v>
      </c>
      <c r="AL25" s="15">
        <f>SUM(AL26:AL748)</f>
        <v>0</v>
      </c>
      <c r="AM25" s="15">
        <f>SUM(AM26:AM748)</f>
        <v>0</v>
      </c>
      <c r="AN25" s="15">
        <f>SUM(AN26:AN748)</f>
        <v>0</v>
      </c>
      <c r="AO25" s="15">
        <f>SUM(AO26:AO748)</f>
        <v>0</v>
      </c>
      <c r="AP25" s="15">
        <f>SUM(AP26:AP748)</f>
        <v>0</v>
      </c>
      <c r="AQ25" s="15">
        <f>SUM(AQ26:AQ748)</f>
        <v>0</v>
      </c>
      <c r="AR25" s="15"/>
    </row>
    <row r="26" spans="1:44" ht="12.75">
      <c r="A26" s="18">
        <v>1</v>
      </c>
      <c r="B26" s="9"/>
      <c r="C26" s="1"/>
      <c r="D26" s="9"/>
      <c r="E26" s="8">
        <f>SUM(F26:W26)</f>
        <v>0</v>
      </c>
      <c r="W26" s="8">
        <f>SUM(X26:AP26)</f>
        <v>0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2.75">
      <c r="A27" s="18">
        <v>2</v>
      </c>
      <c r="B27" s="9"/>
      <c r="C27" s="1"/>
      <c r="D27" s="9"/>
      <c r="E27" s="8">
        <f>SUM(F27:W27)</f>
        <v>0</v>
      </c>
      <c r="W27" s="8">
        <f>SUM(X27:AP27)</f>
        <v>0</v>
      </c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12.75">
      <c r="A28" s="19">
        <v>3</v>
      </c>
      <c r="B28" s="9"/>
      <c r="C28" s="1"/>
      <c r="D28" s="9"/>
      <c r="E28" s="8">
        <f>SUM(F28:W28)</f>
        <v>0</v>
      </c>
      <c r="W28" s="8">
        <f>SUM(X28:AP28)</f>
        <v>0</v>
      </c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2.75">
      <c r="A29" s="18">
        <v>4</v>
      </c>
      <c r="B29" s="9"/>
      <c r="C29" s="1"/>
      <c r="D29" s="9"/>
      <c r="E29" s="8">
        <f>SUM(F29:W29)</f>
        <v>0</v>
      </c>
      <c r="W29" s="8">
        <f>SUM(X29:AP29)</f>
        <v>0</v>
      </c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12.75">
      <c r="A30" s="18">
        <v>5</v>
      </c>
      <c r="B30" s="9"/>
      <c r="C30" s="1"/>
      <c r="D30" s="9"/>
      <c r="E30" s="8">
        <f>SUM(F30:W30)</f>
        <v>0</v>
      </c>
      <c r="W30" s="8">
        <f>SUM(X30:AP30)</f>
        <v>0</v>
      </c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12.75">
      <c r="A31" s="18">
        <v>6</v>
      </c>
      <c r="B31" s="9"/>
      <c r="C31" s="1"/>
      <c r="D31" s="9"/>
      <c r="E31" s="8">
        <f>SUM(F31:W31)</f>
        <v>0</v>
      </c>
      <c r="W31" s="8">
        <f>SUM(X31:AP31)</f>
        <v>0</v>
      </c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2.75">
      <c r="A32" s="18">
        <v>7</v>
      </c>
      <c r="B32" s="9"/>
      <c r="C32" s="1"/>
      <c r="D32" s="9"/>
      <c r="E32" s="8">
        <f>SUM(F32:W32)</f>
        <v>0</v>
      </c>
      <c r="W32" s="8">
        <f>SUM(X32:AP32)</f>
        <v>0</v>
      </c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12.75">
      <c r="A33" s="19">
        <v>8</v>
      </c>
      <c r="B33" s="9"/>
      <c r="C33" s="1"/>
      <c r="D33" s="9"/>
      <c r="E33" s="8">
        <f>SUM(F33:W33)</f>
        <v>0</v>
      </c>
      <c r="W33" s="8">
        <f>SUM(X33:AP33)</f>
        <v>0</v>
      </c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12.75">
      <c r="A34" s="18">
        <v>9</v>
      </c>
      <c r="B34" s="9"/>
      <c r="C34" s="1"/>
      <c r="D34" s="9"/>
      <c r="E34" s="8">
        <f>SUM(F34:W34)</f>
        <v>0</v>
      </c>
      <c r="W34" s="8">
        <f>SUM(X34:AP34)</f>
        <v>0</v>
      </c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12.75">
      <c r="A35" s="18">
        <v>10</v>
      </c>
      <c r="B35" s="9"/>
      <c r="C35" s="1"/>
      <c r="D35" s="9"/>
      <c r="E35" s="8">
        <f>SUM(F35:W35)</f>
        <v>0</v>
      </c>
      <c r="W35" s="8">
        <f>SUM(X35:AP35)</f>
        <v>0</v>
      </c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12.75">
      <c r="A36" s="18">
        <v>11</v>
      </c>
      <c r="B36" s="9"/>
      <c r="C36" s="1"/>
      <c r="D36" s="9"/>
      <c r="E36" s="8">
        <f>SUM(F36:W36)</f>
        <v>0</v>
      </c>
      <c r="W36" s="8">
        <f>SUM(X36:AP36)</f>
        <v>0</v>
      </c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1:44" ht="12.75">
      <c r="A37" s="18">
        <v>12</v>
      </c>
      <c r="B37" s="9"/>
      <c r="C37" s="1"/>
      <c r="D37" s="9"/>
      <c r="E37" s="8">
        <f>SUM(F37:W37)</f>
        <v>0</v>
      </c>
      <c r="W37" s="8">
        <f>SUM(X37:AP37)</f>
        <v>0</v>
      </c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1:44" ht="12.75">
      <c r="A38" s="18">
        <v>13</v>
      </c>
      <c r="B38" s="9"/>
      <c r="C38" s="1"/>
      <c r="D38" s="9"/>
      <c r="E38" s="8">
        <f>SUM(F38:W38)</f>
        <v>0</v>
      </c>
      <c r="W38" s="8">
        <f>SUM(X38:AP38)</f>
        <v>0</v>
      </c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1:44" ht="12.75">
      <c r="A39" s="18">
        <v>14</v>
      </c>
      <c r="B39" s="9"/>
      <c r="C39" s="1"/>
      <c r="D39" s="9"/>
      <c r="E39" s="8">
        <f>SUM(F39:W39)</f>
        <v>0</v>
      </c>
      <c r="W39" s="8">
        <f>SUM(X39:AP39)</f>
        <v>0</v>
      </c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1:44" ht="12.75">
      <c r="A40" s="18">
        <v>-15</v>
      </c>
      <c r="B40" s="9"/>
      <c r="C40" s="1"/>
      <c r="D40" s="9"/>
      <c r="E40" s="8">
        <f>SUM(F40:W40)</f>
        <v>0</v>
      </c>
      <c r="W40" s="8">
        <f>SUM(X40:AP40)</f>
        <v>0</v>
      </c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1:44" ht="12.75">
      <c r="A41" s="18">
        <v>16</v>
      </c>
      <c r="B41" s="9"/>
      <c r="C41" s="1"/>
      <c r="D41" s="9"/>
      <c r="E41" s="8">
        <f>SUM(F41:W41)</f>
        <v>0</v>
      </c>
      <c r="W41" s="8">
        <f>SUM(X41:AP41)</f>
        <v>0</v>
      </c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</row>
    <row r="42" spans="1:44" ht="12.75">
      <c r="A42" s="18">
        <v>17</v>
      </c>
      <c r="B42" s="9"/>
      <c r="C42" s="1"/>
      <c r="D42" s="9"/>
      <c r="E42" s="8">
        <f>SUM(F42:W42)</f>
        <v>0</v>
      </c>
      <c r="W42" s="8">
        <f>SUM(X42:AP42)</f>
        <v>0</v>
      </c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</row>
    <row r="43" spans="1:44" ht="12.75">
      <c r="A43" s="18">
        <v>18</v>
      </c>
      <c r="B43" s="9"/>
      <c r="C43" s="1"/>
      <c r="D43" s="9"/>
      <c r="E43" s="8">
        <f>SUM(F43:W43)</f>
        <v>0</v>
      </c>
      <c r="W43" s="8">
        <f>SUM(X43:AP43)</f>
        <v>0</v>
      </c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</row>
    <row r="44" spans="1:44" ht="12.75">
      <c r="A44" s="18">
        <v>19</v>
      </c>
      <c r="B44" s="9"/>
      <c r="C44" s="1"/>
      <c r="D44" s="9"/>
      <c r="E44" s="8">
        <f>SUM(F44:W44)</f>
        <v>0</v>
      </c>
      <c r="W44" s="8">
        <f>SUM(X44:AP44)</f>
        <v>0</v>
      </c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</row>
    <row r="45" spans="1:44" ht="12.75">
      <c r="A45" s="18">
        <v>20</v>
      </c>
      <c r="B45" s="9"/>
      <c r="C45" s="1"/>
      <c r="D45" s="9"/>
      <c r="E45" s="8">
        <f>SUM(F45:W45)</f>
        <v>0</v>
      </c>
      <c r="W45" s="8">
        <f>SUM(X45:AP45)</f>
        <v>0</v>
      </c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</row>
    <row r="46" spans="1:44" ht="12.75">
      <c r="A46" s="18">
        <v>21</v>
      </c>
      <c r="B46" s="9"/>
      <c r="C46" s="1"/>
      <c r="D46" s="9"/>
      <c r="E46" s="8">
        <f>SUM(F46:W46)</f>
        <v>0</v>
      </c>
      <c r="W46" s="8">
        <f>SUM(X46:AP46)</f>
        <v>0</v>
      </c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</row>
    <row r="47" spans="1:44" ht="12.75">
      <c r="A47" s="18">
        <v>22</v>
      </c>
      <c r="B47" s="9"/>
      <c r="C47" s="1"/>
      <c r="D47" s="9"/>
      <c r="E47" s="8">
        <f>SUM(F47:W47)</f>
        <v>0</v>
      </c>
      <c r="W47" s="8">
        <f>SUM(X47:AP47)</f>
        <v>0</v>
      </c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</row>
    <row r="48" spans="1:44" ht="12.75">
      <c r="A48" s="19">
        <v>23</v>
      </c>
      <c r="B48" s="9"/>
      <c r="C48" s="1"/>
      <c r="D48" s="9"/>
      <c r="E48" s="8">
        <f>SUM(F48:W48)</f>
        <v>0</v>
      </c>
      <c r="W48" s="8">
        <f>SUM(X48:AP48)</f>
        <v>0</v>
      </c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pans="1:44" ht="12.75">
      <c r="A49" s="18">
        <v>24</v>
      </c>
      <c r="B49" s="9"/>
      <c r="C49" s="1"/>
      <c r="D49" s="9"/>
      <c r="E49" s="8">
        <f>SUM(F49:W49)</f>
        <v>0</v>
      </c>
      <c r="W49" s="8">
        <f>SUM(X49:AP49)</f>
        <v>0</v>
      </c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1:44" ht="12.75">
      <c r="A50" s="18">
        <v>25</v>
      </c>
      <c r="B50" s="9"/>
      <c r="C50" s="1"/>
      <c r="D50" s="9"/>
      <c r="E50" s="8">
        <f>SUM(F50:W50)</f>
        <v>0</v>
      </c>
      <c r="W50" s="8">
        <f>SUM(X50:AP50)</f>
        <v>0</v>
      </c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</row>
    <row r="51" spans="1:44" ht="12.75">
      <c r="A51" s="18">
        <v>26</v>
      </c>
      <c r="B51" s="9"/>
      <c r="C51" s="1"/>
      <c r="D51" s="9"/>
      <c r="E51" s="8">
        <f>SUM(F51:W51)</f>
        <v>0</v>
      </c>
      <c r="W51" s="8">
        <f>SUM(X51:AP51)</f>
        <v>0</v>
      </c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</row>
    <row r="52" spans="1:44" ht="12.75">
      <c r="A52" s="18">
        <v>27</v>
      </c>
      <c r="B52" s="9"/>
      <c r="C52" s="1"/>
      <c r="D52" s="9"/>
      <c r="E52" s="8">
        <f>SUM(F52:W52)</f>
        <v>0</v>
      </c>
      <c r="W52" s="8">
        <f>SUM(X52:AP52)</f>
        <v>0</v>
      </c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</row>
    <row r="53" spans="1:44" ht="12.75">
      <c r="A53" s="18">
        <v>28</v>
      </c>
      <c r="B53" s="9"/>
      <c r="C53" s="1"/>
      <c r="D53" s="9"/>
      <c r="E53" s="8">
        <f>SUM(F53:W53)</f>
        <v>0</v>
      </c>
      <c r="W53" s="8">
        <f>SUM(X53:AP53)</f>
        <v>0</v>
      </c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</row>
    <row r="54" spans="1:44" ht="12.75">
      <c r="A54" s="18">
        <v>29</v>
      </c>
      <c r="B54" s="9"/>
      <c r="C54" s="1"/>
      <c r="D54" s="9"/>
      <c r="E54" s="8">
        <f>SUM(F54:W54)</f>
        <v>0</v>
      </c>
      <c r="W54" s="8">
        <f>SUM(X54:AP54)</f>
        <v>0</v>
      </c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</row>
    <row r="55" spans="1:44" ht="12.75">
      <c r="A55" s="18">
        <v>30</v>
      </c>
      <c r="B55" s="9"/>
      <c r="C55" s="1"/>
      <c r="D55" s="9"/>
      <c r="E55" s="8">
        <f>SUM(F55:W55)</f>
        <v>0</v>
      </c>
      <c r="W55" s="8">
        <f>SUM(X55:AP55)</f>
        <v>0</v>
      </c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</row>
    <row r="56" spans="1:44" ht="12.75">
      <c r="A56" s="18">
        <v>31</v>
      </c>
      <c r="B56" s="9"/>
      <c r="C56" s="1"/>
      <c r="D56" s="9"/>
      <c r="E56" s="8">
        <f>SUM(F56:W56)</f>
        <v>0</v>
      </c>
      <c r="W56" s="8">
        <f>SUM(X56:AP56)</f>
        <v>0</v>
      </c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</row>
    <row r="57" spans="1:44" ht="12.75">
      <c r="A57" s="19">
        <v>32</v>
      </c>
      <c r="B57" s="9"/>
      <c r="C57" s="1"/>
      <c r="D57" s="9"/>
      <c r="E57" s="8">
        <f>SUM(F57:W57)</f>
        <v>0</v>
      </c>
      <c r="W57" s="8">
        <f>SUM(X57:AP57)</f>
        <v>0</v>
      </c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</row>
    <row r="58" spans="1:44" ht="12.75">
      <c r="A58" s="18">
        <v>33</v>
      </c>
      <c r="B58" s="9"/>
      <c r="C58" s="1"/>
      <c r="D58" s="9"/>
      <c r="E58" s="8">
        <f>SUM(F58:W58)</f>
        <v>0</v>
      </c>
      <c r="W58" s="8">
        <f>SUM(X58:AP58)</f>
        <v>0</v>
      </c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</row>
    <row r="59" spans="1:44" ht="12.75">
      <c r="A59" s="18">
        <v>34</v>
      </c>
      <c r="B59" s="9"/>
      <c r="C59" s="1"/>
      <c r="D59" s="9"/>
      <c r="E59" s="8">
        <f>SUM(F59:W59)</f>
        <v>0</v>
      </c>
      <c r="W59" s="8">
        <f>SUM(X59:AP59)</f>
        <v>0</v>
      </c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</row>
    <row r="60" spans="1:44" ht="12.75">
      <c r="A60" s="18">
        <v>35</v>
      </c>
      <c r="B60" s="9"/>
      <c r="C60" s="1"/>
      <c r="D60" s="9"/>
      <c r="E60" s="8">
        <f>SUM(F60:W60)</f>
        <v>0</v>
      </c>
      <c r="W60" s="8">
        <f>SUM(X60:AP60)</f>
        <v>0</v>
      </c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</row>
    <row r="61" spans="1:44" ht="12.75">
      <c r="A61" s="18">
        <v>36</v>
      </c>
      <c r="B61" s="9"/>
      <c r="C61" s="1"/>
      <c r="D61" s="9"/>
      <c r="E61" s="8">
        <f>SUM(F61:W61)</f>
        <v>0</v>
      </c>
      <c r="W61" s="8">
        <f>SUM(X61:AP61)</f>
        <v>0</v>
      </c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</row>
    <row r="62" spans="1:44" ht="12.75">
      <c r="A62" s="18">
        <v>37</v>
      </c>
      <c r="B62" s="9"/>
      <c r="C62" s="1"/>
      <c r="D62" s="9"/>
      <c r="E62" s="8">
        <f>SUM(F62:W62)</f>
        <v>0</v>
      </c>
      <c r="W62" s="8">
        <f>SUM(X62:AP62)</f>
        <v>0</v>
      </c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</row>
    <row r="63" spans="1:44" ht="12.75">
      <c r="A63" s="18">
        <v>38</v>
      </c>
      <c r="B63" s="9"/>
      <c r="C63" s="1"/>
      <c r="D63" s="9"/>
      <c r="E63" s="8">
        <f>SUM(F63:W63)</f>
        <v>0</v>
      </c>
      <c r="W63" s="8">
        <f>SUM(X63:AP63)</f>
        <v>0</v>
      </c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</row>
    <row r="64" spans="1:44" ht="12.75">
      <c r="A64" s="18">
        <v>39</v>
      </c>
      <c r="B64" s="9"/>
      <c r="C64" s="1"/>
      <c r="D64" s="9"/>
      <c r="E64" s="8">
        <f>SUM(F64:W64)</f>
        <v>0</v>
      </c>
      <c r="W64" s="8">
        <f>SUM(X64:AP64)</f>
        <v>0</v>
      </c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</row>
    <row r="65" spans="1:44" ht="12.75">
      <c r="A65" s="18">
        <v>40</v>
      </c>
      <c r="B65" s="9"/>
      <c r="C65" s="1"/>
      <c r="D65" s="9"/>
      <c r="E65" s="8">
        <f>SUM(F65:W65)</f>
        <v>0</v>
      </c>
      <c r="W65" s="8">
        <f>SUM(X65:AP65)</f>
        <v>0</v>
      </c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</row>
    <row r="66" spans="1:44" ht="12.75">
      <c r="A66" s="18">
        <v>41</v>
      </c>
      <c r="B66" s="9"/>
      <c r="C66" s="1"/>
      <c r="D66" s="9"/>
      <c r="E66" s="8">
        <f>SUM(F66:W66)</f>
        <v>0</v>
      </c>
      <c r="W66" s="8">
        <f>SUM(X66:AP66)</f>
        <v>0</v>
      </c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</row>
    <row r="67" spans="1:44" ht="12.75">
      <c r="A67" s="18">
        <v>42</v>
      </c>
      <c r="B67" s="9"/>
      <c r="C67" s="1"/>
      <c r="D67" s="9"/>
      <c r="E67" s="8">
        <f>SUM(F67:W67)</f>
        <v>0</v>
      </c>
      <c r="W67" s="8">
        <f>SUM(X67:AP67)</f>
        <v>0</v>
      </c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</row>
    <row r="68" spans="1:44" ht="12.75">
      <c r="A68" s="18">
        <v>43</v>
      </c>
      <c r="B68" s="9"/>
      <c r="C68" s="1"/>
      <c r="D68" s="9"/>
      <c r="E68" s="8">
        <f>SUM(F68:W68)</f>
        <v>0</v>
      </c>
      <c r="W68" s="8">
        <f>SUM(X68:AP68)</f>
        <v>0</v>
      </c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</row>
    <row r="69" spans="1:44" ht="12.75">
      <c r="A69" s="18">
        <v>44</v>
      </c>
      <c r="B69" s="9"/>
      <c r="C69" s="1"/>
      <c r="D69" s="9"/>
      <c r="E69" s="8">
        <f>SUM(F69:W69)</f>
        <v>0</v>
      </c>
      <c r="W69" s="8">
        <f>SUM(X69:AP69)</f>
        <v>0</v>
      </c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</row>
    <row r="70" spans="1:44" ht="12.75">
      <c r="A70" s="18">
        <v>45</v>
      </c>
      <c r="B70" s="9"/>
      <c r="C70" s="1"/>
      <c r="D70" s="9"/>
      <c r="E70" s="8">
        <f>SUM(F70:W70)</f>
        <v>0</v>
      </c>
      <c r="W70" s="8">
        <f>SUM(X70:AP70)</f>
        <v>0</v>
      </c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</row>
    <row r="71" spans="1:44" ht="12.75">
      <c r="A71" s="18">
        <v>46</v>
      </c>
      <c r="B71" s="9"/>
      <c r="C71" s="1"/>
      <c r="D71" s="9"/>
      <c r="E71" s="8">
        <f>SUM(F71:W71)</f>
        <v>0</v>
      </c>
      <c r="W71" s="8">
        <f>SUM(X71:AP71)</f>
        <v>0</v>
      </c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</row>
    <row r="72" spans="1:44" ht="12.75">
      <c r="A72" s="18">
        <v>47</v>
      </c>
      <c r="B72" s="9"/>
      <c r="C72" s="1"/>
      <c r="D72" s="9"/>
      <c r="E72" s="8">
        <f>SUM(F72:W72)</f>
        <v>0</v>
      </c>
      <c r="W72" s="8">
        <f>SUM(X72:AP72)</f>
        <v>0</v>
      </c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</row>
    <row r="73" spans="1:44" ht="12.75">
      <c r="A73" s="18">
        <v>48</v>
      </c>
      <c r="B73" s="9"/>
      <c r="C73" s="1"/>
      <c r="D73" s="9"/>
      <c r="E73" s="8">
        <f>SUM(F73:W73)</f>
        <v>0</v>
      </c>
      <c r="W73" s="8">
        <f>SUM(X73:AP73)</f>
        <v>0</v>
      </c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</row>
    <row r="74" spans="1:44" ht="12.75">
      <c r="A74" s="18">
        <v>49</v>
      </c>
      <c r="B74" s="9"/>
      <c r="C74" s="1"/>
      <c r="D74" s="9"/>
      <c r="E74" s="8">
        <f>SUM(F74:W74)</f>
        <v>0</v>
      </c>
      <c r="W74" s="8">
        <f>SUM(X74:AP74)</f>
        <v>0</v>
      </c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</row>
    <row r="75" spans="1:44" ht="12.75">
      <c r="A75" s="18">
        <v>50</v>
      </c>
      <c r="B75" s="9"/>
      <c r="C75" s="1"/>
      <c r="D75" s="9"/>
      <c r="E75" s="8">
        <f>SUM(F75:W75)</f>
        <v>0</v>
      </c>
      <c r="W75" s="8">
        <f>SUM(X75:AP75)</f>
        <v>0</v>
      </c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</row>
    <row r="76" spans="1:44" ht="12.75">
      <c r="A76" s="18">
        <v>51</v>
      </c>
      <c r="B76" s="9"/>
      <c r="C76" s="1"/>
      <c r="D76" s="9"/>
      <c r="E76" s="8">
        <f>SUM(F76:W76)</f>
        <v>0</v>
      </c>
      <c r="W76" s="8">
        <f>SUM(X76:AP76)</f>
        <v>0</v>
      </c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</row>
    <row r="77" spans="1:44" ht="12.75">
      <c r="A77">
        <v>52</v>
      </c>
      <c r="B77" s="9"/>
      <c r="C77" s="1"/>
      <c r="D77" s="9"/>
      <c r="E77" s="8">
        <f>SUM(F77:W77)</f>
        <v>0</v>
      </c>
      <c r="W77" s="8">
        <f>SUM(X77:AP77)</f>
        <v>0</v>
      </c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</row>
    <row r="78" spans="1:44" ht="12.75">
      <c r="A78">
        <v>53</v>
      </c>
      <c r="B78" s="9"/>
      <c r="C78" s="1"/>
      <c r="D78" s="9"/>
      <c r="E78" s="8">
        <f>SUM(F78:W78)</f>
        <v>0</v>
      </c>
      <c r="W78" s="8">
        <f>SUM(X78:AP78)</f>
        <v>0</v>
      </c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</row>
    <row r="79" spans="1:44" ht="12.75">
      <c r="A79">
        <v>54</v>
      </c>
      <c r="B79" s="9"/>
      <c r="C79" s="1"/>
      <c r="D79" s="9"/>
      <c r="E79" s="8">
        <f>SUM(F79:W79)</f>
        <v>0</v>
      </c>
      <c r="W79" s="8">
        <f>SUM(X79:AP79)</f>
        <v>0</v>
      </c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</row>
    <row r="80" spans="1:44" ht="12.75">
      <c r="A80">
        <v>55</v>
      </c>
      <c r="B80" s="9"/>
      <c r="C80" s="1"/>
      <c r="D80" s="9"/>
      <c r="E80" s="8">
        <f>SUM(F80:W80)</f>
        <v>0</v>
      </c>
      <c r="W80" s="8">
        <f>SUM(X80:AP80)</f>
        <v>0</v>
      </c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</row>
    <row r="81" spans="1:44" ht="12.75">
      <c r="A81">
        <v>56</v>
      </c>
      <c r="B81" s="9"/>
      <c r="C81" s="1"/>
      <c r="D81" s="9"/>
      <c r="E81" s="8">
        <f>SUM(F81:W81)</f>
        <v>0</v>
      </c>
      <c r="W81" s="8">
        <f>SUM(X81:AP81)</f>
        <v>0</v>
      </c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</row>
    <row r="82" spans="1:44" ht="12.75">
      <c r="A82">
        <v>57</v>
      </c>
      <c r="B82" s="9"/>
      <c r="C82" s="1"/>
      <c r="D82" s="9"/>
      <c r="E82" s="8">
        <f>SUM(F82:W82)</f>
        <v>0</v>
      </c>
      <c r="W82" s="8">
        <f>SUM(X82:AP82)</f>
        <v>0</v>
      </c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</row>
    <row r="83" spans="1:44" ht="12.75">
      <c r="A83">
        <v>58</v>
      </c>
      <c r="B83" s="9"/>
      <c r="C83" s="1"/>
      <c r="D83" s="9"/>
      <c r="E83" s="8">
        <f>SUM(F83:W83)</f>
        <v>0</v>
      </c>
      <c r="W83" s="8">
        <f>SUM(X83:AP83)</f>
        <v>0</v>
      </c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</row>
    <row r="84" spans="1:44" ht="12.75">
      <c r="A84">
        <v>59</v>
      </c>
      <c r="B84" s="9"/>
      <c r="C84" s="1"/>
      <c r="D84" s="9"/>
      <c r="E84" s="8">
        <f>SUM(F84:W84)</f>
        <v>0</v>
      </c>
      <c r="W84" s="8">
        <f>SUM(X84:AP84)</f>
        <v>0</v>
      </c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</row>
    <row r="85" spans="1:44" ht="12.75">
      <c r="A85">
        <v>60</v>
      </c>
      <c r="B85" s="9"/>
      <c r="C85" s="1"/>
      <c r="D85" s="9"/>
      <c r="E85" s="8">
        <f>SUM(F85:W85)</f>
        <v>0</v>
      </c>
      <c r="W85" s="8">
        <f>SUM(X85:AP85)</f>
        <v>0</v>
      </c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</row>
    <row r="86" spans="1:44" ht="12.75">
      <c r="A86">
        <v>61</v>
      </c>
      <c r="B86" s="9"/>
      <c r="C86" s="1"/>
      <c r="D86" s="9"/>
      <c r="E86" s="8">
        <f>SUM(F86:W86)</f>
        <v>0</v>
      </c>
      <c r="W86" s="8">
        <f>SUM(X86:AP86)</f>
        <v>0</v>
      </c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</row>
    <row r="87" spans="1:44" ht="12.75">
      <c r="A87">
        <v>62</v>
      </c>
      <c r="B87" s="9"/>
      <c r="C87" s="1"/>
      <c r="D87" s="9"/>
      <c r="E87" s="8">
        <f>SUM(F87:W87)</f>
        <v>0</v>
      </c>
      <c r="W87" s="8">
        <f>SUM(X87:AP87)</f>
        <v>0</v>
      </c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</row>
    <row r="88" spans="1:44" ht="12.75">
      <c r="A88">
        <v>63</v>
      </c>
      <c r="B88" s="9"/>
      <c r="C88" s="1"/>
      <c r="D88" s="9"/>
      <c r="E88" s="8">
        <f>SUM(F88:W88)</f>
        <v>0</v>
      </c>
      <c r="W88" s="8">
        <f>SUM(X88:AP88)</f>
        <v>0</v>
      </c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</row>
    <row r="89" spans="1:44" ht="12.75">
      <c r="A89">
        <v>64</v>
      </c>
      <c r="B89" s="9"/>
      <c r="C89" s="1"/>
      <c r="D89" s="9"/>
      <c r="E89" s="8">
        <f>SUM(F89:W89)</f>
        <v>0</v>
      </c>
      <c r="W89" s="8">
        <f>SUM(X89:AP89)</f>
        <v>0</v>
      </c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</row>
    <row r="90" spans="1:44" ht="12.75">
      <c r="A90">
        <v>65</v>
      </c>
      <c r="B90" s="9"/>
      <c r="C90" s="1"/>
      <c r="D90" s="9"/>
      <c r="E90" s="8">
        <f>SUM(F90:W90)</f>
        <v>0</v>
      </c>
      <c r="W90" s="8">
        <f>SUM(X90:AP90)</f>
        <v>0</v>
      </c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</row>
    <row r="91" spans="1:44" ht="12.75">
      <c r="A91">
        <v>66</v>
      </c>
      <c r="B91" s="9"/>
      <c r="C91" s="1"/>
      <c r="D91" s="9"/>
      <c r="E91" s="8">
        <f>SUM(F91:W91)</f>
        <v>0</v>
      </c>
      <c r="W91" s="8">
        <f>SUM(X91:AP91)</f>
        <v>0</v>
      </c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</row>
    <row r="92" spans="1:44" ht="12.75">
      <c r="A92">
        <v>67</v>
      </c>
      <c r="B92" s="9"/>
      <c r="C92" s="1"/>
      <c r="D92" s="9"/>
      <c r="E92" s="8">
        <f>SUM(F92:W92)</f>
        <v>0</v>
      </c>
      <c r="W92" s="8">
        <f>SUM(X92:AP92)</f>
        <v>0</v>
      </c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</row>
    <row r="93" spans="1:44" ht="12.75">
      <c r="A93">
        <v>68</v>
      </c>
      <c r="B93" s="9"/>
      <c r="C93" s="1"/>
      <c r="D93" s="9"/>
      <c r="E93" s="8">
        <f>SUM(F93:W93)</f>
        <v>0</v>
      </c>
      <c r="W93" s="8">
        <f>SUM(X93:AP93)</f>
        <v>0</v>
      </c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</row>
    <row r="94" spans="1:44" ht="12.75">
      <c r="A94">
        <v>69</v>
      </c>
      <c r="B94" s="9"/>
      <c r="C94" s="1"/>
      <c r="D94" s="9"/>
      <c r="E94" s="8">
        <f>SUM(F94:W94)</f>
        <v>0</v>
      </c>
      <c r="W94" s="8">
        <f>SUM(X94:AP94)</f>
        <v>0</v>
      </c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</row>
    <row r="95" spans="1:44" ht="12.75">
      <c r="A95">
        <v>70</v>
      </c>
      <c r="B95" s="9"/>
      <c r="C95" s="1"/>
      <c r="D95" s="9"/>
      <c r="E95" s="8">
        <f>SUM(F95:W95)</f>
        <v>0</v>
      </c>
      <c r="W95" s="8">
        <f>SUM(X95:AP95)</f>
        <v>0</v>
      </c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</row>
    <row r="96" spans="1:44" ht="12.75">
      <c r="A96">
        <v>71</v>
      </c>
      <c r="B96" s="9"/>
      <c r="C96" s="1"/>
      <c r="D96" s="9"/>
      <c r="E96" s="8">
        <f>SUM(F96:W96)</f>
        <v>0</v>
      </c>
      <c r="W96" s="8">
        <f>SUM(X96:AP96)</f>
        <v>0</v>
      </c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</row>
    <row r="97" spans="1:44" ht="12.75">
      <c r="A97">
        <v>72</v>
      </c>
      <c r="B97" s="9"/>
      <c r="C97" s="1"/>
      <c r="D97" s="9"/>
      <c r="E97" s="8">
        <f>SUM(F97:W97)</f>
        <v>0</v>
      </c>
      <c r="W97" s="8">
        <f>SUM(X97:AP97)</f>
        <v>0</v>
      </c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</row>
    <row r="98" spans="1:44" ht="12.75">
      <c r="A98">
        <v>73</v>
      </c>
      <c r="B98" s="9"/>
      <c r="C98" s="1"/>
      <c r="D98" s="9"/>
      <c r="E98" s="8">
        <f>SUM(F98:W98)</f>
        <v>0</v>
      </c>
      <c r="W98" s="8">
        <f>SUM(X98:AP98)</f>
        <v>0</v>
      </c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</row>
    <row r="99" spans="1:44" ht="12.75">
      <c r="A99">
        <v>74</v>
      </c>
      <c r="B99" s="9"/>
      <c r="C99" s="1"/>
      <c r="D99" s="9"/>
      <c r="E99" s="8">
        <f>SUM(F99:W99)</f>
        <v>0</v>
      </c>
      <c r="W99" s="8">
        <f>SUM(X99:AP99)</f>
        <v>0</v>
      </c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1"/>
      <c r="AQ99" s="8"/>
      <c r="AR99" s="8"/>
    </row>
    <row r="100" spans="1:44" ht="12.75">
      <c r="A100">
        <v>75</v>
      </c>
      <c r="B100" s="9"/>
      <c r="C100" s="1"/>
      <c r="D100" s="9"/>
      <c r="E100" s="8">
        <f>SUM(F100:W100)</f>
        <v>0</v>
      </c>
      <c r="W100" s="8">
        <f>SUM(X100:AP100)</f>
        <v>0</v>
      </c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1"/>
      <c r="AQ100" s="8"/>
      <c r="AR100" s="8"/>
    </row>
    <row r="101" spans="1:44" ht="12.75">
      <c r="A101">
        <v>76</v>
      </c>
      <c r="B101" s="9"/>
      <c r="C101" s="1"/>
      <c r="D101" s="9"/>
      <c r="E101" s="8">
        <f>SUM(F101:W101)</f>
        <v>0</v>
      </c>
      <c r="W101" s="8">
        <f>SUM(X101:AP101)</f>
        <v>0</v>
      </c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1"/>
      <c r="AQ101" s="8"/>
      <c r="AR101" s="8"/>
    </row>
    <row r="102" spans="1:44" ht="12.75">
      <c r="A102">
        <v>77</v>
      </c>
      <c r="B102" s="9"/>
      <c r="C102" s="1"/>
      <c r="D102" s="9"/>
      <c r="E102" s="8">
        <f>SUM(F102:W102)</f>
        <v>0</v>
      </c>
      <c r="W102" s="8">
        <f>SUM(X102:AP102)</f>
        <v>0</v>
      </c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</row>
    <row r="103" spans="1:44" ht="12.75">
      <c r="A103">
        <v>78</v>
      </c>
      <c r="B103" s="9"/>
      <c r="C103" s="1"/>
      <c r="D103" s="9"/>
      <c r="E103" s="8">
        <f>SUM(F103:W103)</f>
        <v>0</v>
      </c>
      <c r="W103" s="8">
        <f>SUM(X103:AP103)</f>
        <v>0</v>
      </c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</row>
    <row r="104" spans="1:44" ht="12.75">
      <c r="A104">
        <v>79</v>
      </c>
      <c r="B104" s="9"/>
      <c r="C104" s="1"/>
      <c r="D104" s="9"/>
      <c r="E104" s="8">
        <f>SUM(F104:W104)</f>
        <v>0</v>
      </c>
      <c r="W104" s="8">
        <f>SUM(X104:AP104)</f>
        <v>0</v>
      </c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</row>
    <row r="105" spans="1:44" ht="12.75">
      <c r="A105">
        <v>80</v>
      </c>
      <c r="B105" s="9"/>
      <c r="C105" s="1"/>
      <c r="D105" s="9"/>
      <c r="E105" s="8">
        <f>SUM(F105:W105)</f>
        <v>0</v>
      </c>
      <c r="W105" s="8">
        <f>SUM(X105:AP105)</f>
        <v>0</v>
      </c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</row>
    <row r="106" spans="1:44" ht="12.75">
      <c r="A106">
        <v>81</v>
      </c>
      <c r="B106" s="20"/>
      <c r="D106" s="9"/>
      <c r="E106" s="8">
        <f>SUM(F106:W106)</f>
        <v>0</v>
      </c>
      <c r="W106" s="8">
        <f>SUM(X106:AP106)</f>
        <v>0</v>
      </c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</row>
    <row r="107" spans="1:44" ht="12.75">
      <c r="A107">
        <v>82</v>
      </c>
      <c r="B107" s="20"/>
      <c r="D107" s="9"/>
      <c r="E107" s="8">
        <f>SUM(F107:W107)</f>
        <v>0</v>
      </c>
      <c r="W107" s="8">
        <f>SUM(X107:AP107)</f>
        <v>0</v>
      </c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</row>
    <row r="108" spans="1:44" ht="12.75">
      <c r="A108">
        <v>83</v>
      </c>
      <c r="B108" s="20"/>
      <c r="D108" s="9"/>
      <c r="E108" s="8">
        <f>SUM(F108:W108)</f>
        <v>0</v>
      </c>
      <c r="W108" s="8">
        <f>SUM(X108:AP108)</f>
        <v>0</v>
      </c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</row>
    <row r="109" spans="1:44" ht="12.75">
      <c r="A109">
        <v>84</v>
      </c>
      <c r="B109" s="20"/>
      <c r="D109" s="9"/>
      <c r="E109" s="8">
        <f>SUM(F109:W109)</f>
        <v>0</v>
      </c>
      <c r="W109" s="8">
        <f>SUM(X109:AP109)</f>
        <v>0</v>
      </c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</row>
    <row r="110" spans="1:44" ht="12.75">
      <c r="A110">
        <v>85</v>
      </c>
      <c r="B110" s="20"/>
      <c r="D110" s="9"/>
      <c r="E110" s="8">
        <f>SUM(F110:W110)</f>
        <v>0</v>
      </c>
      <c r="W110" s="8">
        <f>SUM(X110:AP110)</f>
        <v>0</v>
      </c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</row>
    <row r="111" spans="1:44" ht="12.75">
      <c r="A111">
        <v>86</v>
      </c>
      <c r="B111" s="20"/>
      <c r="D111" s="9"/>
      <c r="E111" s="8">
        <f>SUM(F111:W111)</f>
        <v>0</v>
      </c>
      <c r="W111" s="8">
        <f>SUM(X111:AP111)</f>
        <v>0</v>
      </c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</row>
    <row r="112" spans="1:44" ht="12.75">
      <c r="A112">
        <v>87</v>
      </c>
      <c r="B112" s="20"/>
      <c r="D112" s="9"/>
      <c r="E112" s="8">
        <f>SUM(F112:W112)</f>
        <v>0</v>
      </c>
      <c r="W112" s="8">
        <f>SUM(X112:AP112)</f>
        <v>0</v>
      </c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</row>
    <row r="113" spans="1:44" ht="12.75">
      <c r="A113">
        <v>88</v>
      </c>
      <c r="B113" s="20"/>
      <c r="D113" s="9"/>
      <c r="E113" s="8">
        <f>SUM(F113:W113)</f>
        <v>0</v>
      </c>
      <c r="W113" s="8">
        <f>SUM(X113:AP113)</f>
        <v>0</v>
      </c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</row>
    <row r="114" spans="1:44" ht="12.75">
      <c r="A114">
        <v>89</v>
      </c>
      <c r="B114" s="20"/>
      <c r="D114" s="9"/>
      <c r="E114" s="8">
        <f>SUM(F114:W114)</f>
        <v>0</v>
      </c>
      <c r="W114" s="8">
        <f>SUM(X114:AP114)</f>
        <v>0</v>
      </c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</row>
    <row r="115" spans="1:44" ht="12.75">
      <c r="A115">
        <v>90</v>
      </c>
      <c r="B115" s="20"/>
      <c r="D115" s="9"/>
      <c r="E115" s="8">
        <f>SUM(F115:W115)</f>
        <v>0</v>
      </c>
      <c r="W115" s="8">
        <f>SUM(X115:AP115)</f>
        <v>0</v>
      </c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</row>
    <row r="116" spans="1:44" ht="12.75">
      <c r="A116">
        <v>91</v>
      </c>
      <c r="B116" s="20"/>
      <c r="D116" s="9"/>
      <c r="E116" s="8">
        <f>SUM(F116:W116)</f>
        <v>0</v>
      </c>
      <c r="W116" s="8">
        <f>SUM(X116:AP116)</f>
        <v>0</v>
      </c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</row>
    <row r="117" spans="1:44" ht="12.75">
      <c r="A117">
        <v>92</v>
      </c>
      <c r="B117" s="20"/>
      <c r="D117" s="9"/>
      <c r="E117" s="8">
        <f>SUM(F117:W117)</f>
        <v>0</v>
      </c>
      <c r="W117" s="8">
        <f>SUM(X117:AP117)</f>
        <v>0</v>
      </c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</row>
    <row r="118" spans="1:44" ht="12.75">
      <c r="A118">
        <v>93</v>
      </c>
      <c r="B118" s="20"/>
      <c r="D118" s="9"/>
      <c r="E118" s="8">
        <f>SUM(F118:W118)</f>
        <v>0</v>
      </c>
      <c r="W118" s="8">
        <f>SUM(X118:AP118)</f>
        <v>0</v>
      </c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</row>
    <row r="119" spans="1:44" ht="12.75">
      <c r="A119">
        <v>94</v>
      </c>
      <c r="B119" s="20"/>
      <c r="D119" s="9"/>
      <c r="E119" s="8">
        <f>SUM(F119:W119)</f>
        <v>0</v>
      </c>
      <c r="W119" s="8">
        <f>SUM(X119:AP119)</f>
        <v>0</v>
      </c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</row>
    <row r="120" spans="1:44" ht="12.75">
      <c r="A120">
        <v>95</v>
      </c>
      <c r="B120" s="20"/>
      <c r="D120" s="9"/>
      <c r="E120" s="8">
        <f>SUM(F120:W120)</f>
        <v>0</v>
      </c>
      <c r="W120" s="8">
        <f>SUM(X120:AP120)</f>
        <v>0</v>
      </c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</row>
    <row r="121" spans="1:44" ht="12.75">
      <c r="A121">
        <v>96</v>
      </c>
      <c r="B121" s="20"/>
      <c r="D121" s="9"/>
      <c r="E121" s="8">
        <f>SUM(F121:W121)</f>
        <v>0</v>
      </c>
      <c r="W121" s="8">
        <f>SUM(X121:AP121)</f>
        <v>0</v>
      </c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</row>
    <row r="122" spans="1:44" ht="12.75">
      <c r="A122">
        <v>97</v>
      </c>
      <c r="B122" s="20"/>
      <c r="D122" s="9"/>
      <c r="E122" s="8">
        <f>SUM(F122:W122)</f>
        <v>0</v>
      </c>
      <c r="W122" s="8">
        <f>SUM(X122:AP122)</f>
        <v>0</v>
      </c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</row>
    <row r="123" spans="1:44" ht="12.75">
      <c r="A123">
        <v>98</v>
      </c>
      <c r="B123" s="20"/>
      <c r="D123" s="9"/>
      <c r="E123" s="8">
        <f>SUM(F123:W123)</f>
        <v>0</v>
      </c>
      <c r="W123" s="8">
        <f>SUM(X123:AP123)</f>
        <v>0</v>
      </c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</row>
    <row r="124" spans="1:44" ht="12.75">
      <c r="A124">
        <v>99</v>
      </c>
      <c r="B124" s="20"/>
      <c r="D124" s="9"/>
      <c r="E124" s="8">
        <f>SUM(F124:W124)</f>
        <v>0</v>
      </c>
      <c r="W124" s="8">
        <f>SUM(X124:AP124)</f>
        <v>0</v>
      </c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</row>
    <row r="125" spans="1:44" ht="12.75">
      <c r="A125">
        <v>100</v>
      </c>
      <c r="B125" s="20"/>
      <c r="D125" s="9"/>
      <c r="E125" s="8">
        <f>SUM(F125:W125)</f>
        <v>0</v>
      </c>
      <c r="W125" s="8">
        <f>SUM(X125:AP125)</f>
        <v>0</v>
      </c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</row>
    <row r="126" spans="1:44" ht="12.75">
      <c r="A126">
        <v>101</v>
      </c>
      <c r="B126" s="20"/>
      <c r="D126" s="9"/>
      <c r="E126" s="8">
        <f>SUM(F126:W126)</f>
        <v>0</v>
      </c>
      <c r="W126" s="8">
        <f>SUM(X126:AP126)</f>
        <v>0</v>
      </c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</row>
    <row r="127" spans="1:44" ht="12.75">
      <c r="A127">
        <v>102</v>
      </c>
      <c r="B127" s="20"/>
      <c r="D127" s="9"/>
      <c r="E127" s="8">
        <f>SUM(F127:W127)</f>
        <v>0</v>
      </c>
      <c r="W127" s="8">
        <f>SUM(X127:AP127)</f>
        <v>0</v>
      </c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</row>
    <row r="128" spans="1:44" ht="12.75">
      <c r="A128">
        <v>103</v>
      </c>
      <c r="B128" s="20"/>
      <c r="D128" s="9"/>
      <c r="E128" s="8">
        <f>SUM(F128:W128)</f>
        <v>0</v>
      </c>
      <c r="W128" s="8">
        <f>SUM(X128:AP128)</f>
        <v>0</v>
      </c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</row>
    <row r="129" spans="1:44" ht="12.75">
      <c r="A129">
        <v>104</v>
      </c>
      <c r="B129" s="20"/>
      <c r="D129" s="9"/>
      <c r="E129" s="8">
        <f>SUM(F129:W129)</f>
        <v>0</v>
      </c>
      <c r="W129" s="8">
        <f>SUM(X129:AP129)</f>
        <v>0</v>
      </c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</row>
    <row r="130" spans="1:44" ht="12.75">
      <c r="A130">
        <v>105</v>
      </c>
      <c r="B130" s="20"/>
      <c r="D130" s="9"/>
      <c r="E130" s="8">
        <f>SUM(F130:W130)</f>
        <v>0</v>
      </c>
      <c r="W130" s="8">
        <f>SUM(X130:AP130)</f>
        <v>0</v>
      </c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</row>
    <row r="131" spans="1:44" ht="12.75">
      <c r="A131">
        <v>106</v>
      </c>
      <c r="B131" s="20"/>
      <c r="D131" s="9"/>
      <c r="E131" s="8">
        <f>SUM(F131:W131)</f>
        <v>0</v>
      </c>
      <c r="W131" s="8">
        <f>SUM(X131:AP131)</f>
        <v>0</v>
      </c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</row>
    <row r="132" spans="1:44" ht="12.75">
      <c r="A132">
        <v>107</v>
      </c>
      <c r="B132" s="20"/>
      <c r="D132" s="9"/>
      <c r="E132" s="8">
        <f>SUM(F132:W132)</f>
        <v>0</v>
      </c>
      <c r="W132" s="8">
        <f>SUM(X132:AP132)</f>
        <v>0</v>
      </c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</row>
    <row r="133" spans="1:44" ht="12.75">
      <c r="A133">
        <v>108</v>
      </c>
      <c r="B133" s="20"/>
      <c r="D133" s="9"/>
      <c r="E133" s="8">
        <f>SUM(F133:W133)</f>
        <v>0</v>
      </c>
      <c r="W133" s="8">
        <f>SUM(X133:AP133)</f>
        <v>0</v>
      </c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</row>
    <row r="134" spans="1:44" ht="12.75">
      <c r="A134">
        <v>109</v>
      </c>
      <c r="B134" s="20"/>
      <c r="D134" s="9"/>
      <c r="E134" s="8">
        <f>SUM(F134:W134)</f>
        <v>0</v>
      </c>
      <c r="W134" s="8">
        <f>SUM(X134:AP134)</f>
        <v>0</v>
      </c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</row>
    <row r="135" spans="1:44" ht="12.75">
      <c r="A135">
        <v>110</v>
      </c>
      <c r="B135" s="20"/>
      <c r="D135" s="9"/>
      <c r="E135" s="8">
        <f>SUM(F135:W135)</f>
        <v>0</v>
      </c>
      <c r="W135" s="8">
        <f>SUM(X135:AP135)</f>
        <v>0</v>
      </c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</row>
    <row r="136" spans="1:44" ht="12.75">
      <c r="A136">
        <v>111</v>
      </c>
      <c r="B136" s="20"/>
      <c r="D136" s="9"/>
      <c r="E136" s="8">
        <f>SUM(F136:W136)</f>
        <v>0</v>
      </c>
      <c r="W136" s="8">
        <f>SUM(X136:AP136)</f>
        <v>0</v>
      </c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</row>
    <row r="137" spans="1:44" ht="12.75">
      <c r="A137" s="21">
        <v>112</v>
      </c>
      <c r="B137" s="20"/>
      <c r="D137" s="9"/>
      <c r="E137" s="8">
        <f>SUM(F137:W137)</f>
        <v>0</v>
      </c>
      <c r="W137" s="8">
        <f>SUM(X137:AP137)</f>
        <v>0</v>
      </c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</row>
    <row r="138" spans="1:44" ht="12.75">
      <c r="A138">
        <v>113</v>
      </c>
      <c r="B138" s="20"/>
      <c r="D138" s="9"/>
      <c r="E138" s="8">
        <f>SUM(F138:W138)</f>
        <v>0</v>
      </c>
      <c r="W138" s="8">
        <f>SUM(X138:AP138)</f>
        <v>0</v>
      </c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</row>
    <row r="139" spans="1:44" ht="12.75">
      <c r="A139" s="21">
        <v>114</v>
      </c>
      <c r="B139" s="20"/>
      <c r="D139" s="9"/>
      <c r="E139" s="8">
        <f>SUM(F139:W139)</f>
        <v>0</v>
      </c>
      <c r="W139" s="8">
        <f>SUM(X139:AP139)</f>
        <v>0</v>
      </c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1"/>
      <c r="AQ139" s="1"/>
      <c r="AR139" s="8"/>
    </row>
    <row r="140" spans="1:44" ht="12.75">
      <c r="A140">
        <v>115</v>
      </c>
      <c r="B140" s="20"/>
      <c r="D140" s="9"/>
      <c r="E140" s="8">
        <f>SUM(F140:W140)</f>
        <v>0</v>
      </c>
      <c r="W140" s="8">
        <f>SUM(X140:AP140)</f>
        <v>0</v>
      </c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</row>
    <row r="141" spans="1:44" ht="12.75">
      <c r="A141">
        <v>116</v>
      </c>
      <c r="B141" s="20"/>
      <c r="D141" s="9"/>
      <c r="E141" s="8">
        <f>SUM(F141:W141)</f>
        <v>0</v>
      </c>
      <c r="W141" s="8">
        <f>SUM(X141:AP141)</f>
        <v>0</v>
      </c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</row>
    <row r="142" spans="1:44" ht="12.75">
      <c r="A142">
        <v>117</v>
      </c>
      <c r="B142" s="20"/>
      <c r="D142" s="9"/>
      <c r="E142" s="8">
        <f>SUM(F142:W142)</f>
        <v>0</v>
      </c>
      <c r="W142" s="8">
        <f>SUM(X142:AP142)</f>
        <v>0</v>
      </c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</row>
    <row r="143" spans="1:44" ht="12.75">
      <c r="A143">
        <v>118</v>
      </c>
      <c r="B143" s="20"/>
      <c r="D143" s="9"/>
      <c r="E143" s="8">
        <f>SUM(F143:W143)</f>
        <v>0</v>
      </c>
      <c r="W143" s="8">
        <f>SUM(X143:AP143)</f>
        <v>0</v>
      </c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</row>
    <row r="144" spans="1:44" ht="12.75">
      <c r="A144">
        <v>119</v>
      </c>
      <c r="B144" s="20"/>
      <c r="D144" s="9"/>
      <c r="E144" s="8">
        <f>SUM(F144:W144)</f>
        <v>0</v>
      </c>
      <c r="W144" s="8">
        <f>SUM(X144:AP144)</f>
        <v>0</v>
      </c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</row>
    <row r="145" spans="1:44" ht="12.75">
      <c r="A145">
        <v>120</v>
      </c>
      <c r="B145" s="20"/>
      <c r="D145" s="9"/>
      <c r="E145" s="8">
        <f>SUM(F145:W145)</f>
        <v>0</v>
      </c>
      <c r="W145" s="8">
        <f>SUM(X145:AP145)</f>
        <v>0</v>
      </c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</row>
    <row r="146" spans="1:44" ht="12.75">
      <c r="A146">
        <v>121</v>
      </c>
      <c r="B146" s="20"/>
      <c r="D146" s="9"/>
      <c r="E146" s="8">
        <f>SUM(F146:W146)</f>
        <v>0</v>
      </c>
      <c r="W146" s="8">
        <f>SUM(X146:AP146)</f>
        <v>0</v>
      </c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</row>
    <row r="147" spans="1:44" ht="12.75">
      <c r="A147">
        <v>122</v>
      </c>
      <c r="B147" s="20"/>
      <c r="D147" s="9"/>
      <c r="E147" s="8">
        <f>SUM(F147:W147)</f>
        <v>0</v>
      </c>
      <c r="W147" s="8">
        <f>SUM(X147:AP147)</f>
        <v>0</v>
      </c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</row>
    <row r="148" spans="1:44" ht="12.75">
      <c r="A148">
        <v>123</v>
      </c>
      <c r="B148" s="20"/>
      <c r="D148" s="9"/>
      <c r="E148" s="8">
        <f>SUM(F148:W148)</f>
        <v>0</v>
      </c>
      <c r="W148" s="8">
        <f>SUM(X148:AP148)</f>
        <v>0</v>
      </c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</row>
    <row r="149" spans="1:44" ht="12.75">
      <c r="A149">
        <v>124</v>
      </c>
      <c r="B149" s="20"/>
      <c r="D149" s="9"/>
      <c r="E149" s="8">
        <f>SUM(F149:W149)</f>
        <v>0</v>
      </c>
      <c r="W149" s="8">
        <f>SUM(X149:AP149)</f>
        <v>0</v>
      </c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</row>
    <row r="150" spans="1:44" ht="12.75">
      <c r="A150">
        <v>125</v>
      </c>
      <c r="B150" s="20"/>
      <c r="D150" s="9"/>
      <c r="E150" s="8">
        <f>SUM(F150:W150)</f>
        <v>0</v>
      </c>
      <c r="W150" s="8">
        <f>SUM(X150:AP150)</f>
        <v>0</v>
      </c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</row>
    <row r="151" spans="1:44" ht="12.75">
      <c r="A151">
        <v>126</v>
      </c>
      <c r="B151" s="20"/>
      <c r="D151" s="9"/>
      <c r="E151" s="8">
        <f>SUM(F151:W151)</f>
        <v>0</v>
      </c>
      <c r="W151" s="8">
        <f>SUM(X151:AP151)</f>
        <v>0</v>
      </c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</row>
    <row r="152" spans="1:44" ht="12.75">
      <c r="A152">
        <v>127</v>
      </c>
      <c r="B152" s="20"/>
      <c r="D152" s="9"/>
      <c r="E152" s="8">
        <f>SUM(F152:W152)</f>
        <v>0</v>
      </c>
      <c r="W152" s="8">
        <f>SUM(X152:AP152)</f>
        <v>0</v>
      </c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</row>
    <row r="153" spans="1:44" ht="12.75">
      <c r="A153">
        <v>128</v>
      </c>
      <c r="B153" s="20"/>
      <c r="D153" s="9"/>
      <c r="E153" s="8">
        <f>SUM(F153:W153)</f>
        <v>0</v>
      </c>
      <c r="W153" s="8">
        <f>SUM(X153:AP153)</f>
        <v>0</v>
      </c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</row>
    <row r="154" spans="1:44" ht="12.75">
      <c r="A154">
        <v>129</v>
      </c>
      <c r="B154" s="20"/>
      <c r="D154" s="9"/>
      <c r="E154" s="8">
        <f>SUM(F154:W154)</f>
        <v>0</v>
      </c>
      <c r="W154" s="8">
        <f>SUM(X154:AP154)</f>
        <v>0</v>
      </c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</row>
    <row r="155" spans="1:44" ht="12.75">
      <c r="A155">
        <v>130</v>
      </c>
      <c r="B155" s="20"/>
      <c r="D155" s="9"/>
      <c r="E155" s="8">
        <f>SUM(F155:W155)</f>
        <v>0</v>
      </c>
      <c r="W155" s="8">
        <f>SUM(X155:AP155)</f>
        <v>0</v>
      </c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</row>
    <row r="156" spans="1:44" ht="12.75">
      <c r="A156">
        <v>131</v>
      </c>
      <c r="B156" s="20"/>
      <c r="D156" s="9"/>
      <c r="E156" s="8">
        <f>SUM(F156:W156)</f>
        <v>0</v>
      </c>
      <c r="W156" s="8">
        <f>SUM(X156:AP156)</f>
        <v>0</v>
      </c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</row>
    <row r="157" spans="1:44" ht="12.75">
      <c r="A157">
        <v>132</v>
      </c>
      <c r="B157" s="20"/>
      <c r="D157" s="9"/>
      <c r="E157" s="8">
        <f>SUM(F157:W157)</f>
        <v>0</v>
      </c>
      <c r="W157" s="8">
        <f>SUM(X157:AP157)</f>
        <v>0</v>
      </c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</row>
    <row r="158" spans="1:44" ht="12.75">
      <c r="A158">
        <v>133</v>
      </c>
      <c r="B158" s="20"/>
      <c r="D158" s="9"/>
      <c r="E158" s="8">
        <f>SUM(F158:W158)</f>
        <v>0</v>
      </c>
      <c r="W158" s="8">
        <f>SUM(X158:AP158)</f>
        <v>0</v>
      </c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</row>
    <row r="159" spans="1:44" ht="12.75">
      <c r="A159">
        <v>134</v>
      </c>
      <c r="B159" s="20"/>
      <c r="D159" s="9"/>
      <c r="E159" s="8">
        <f>SUM(F159:W159)</f>
        <v>0</v>
      </c>
      <c r="W159" s="8">
        <f>SUM(X159:AP159)</f>
        <v>0</v>
      </c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</row>
    <row r="160" spans="1:44" ht="12.75">
      <c r="A160">
        <v>135</v>
      </c>
      <c r="B160" s="20"/>
      <c r="D160" s="9"/>
      <c r="E160" s="8">
        <f>SUM(F160:W160)</f>
        <v>0</v>
      </c>
      <c r="W160" s="8">
        <f>SUM(X160:AP160)</f>
        <v>0</v>
      </c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</row>
    <row r="161" spans="1:44" ht="12.75">
      <c r="A161">
        <v>136</v>
      </c>
      <c r="B161" s="20"/>
      <c r="D161" s="9"/>
      <c r="E161" s="8">
        <f>SUM(F161:W161)</f>
        <v>0</v>
      </c>
      <c r="W161" s="8">
        <f>SUM(X161:AP161)</f>
        <v>0</v>
      </c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</row>
    <row r="162" spans="1:44" ht="12.75">
      <c r="A162">
        <v>137</v>
      </c>
      <c r="B162" s="20"/>
      <c r="D162" s="9"/>
      <c r="E162" s="8">
        <f>SUM(F162:W162)</f>
        <v>0</v>
      </c>
      <c r="W162" s="8">
        <f>SUM(X162:AP162)</f>
        <v>0</v>
      </c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</row>
    <row r="163" spans="1:44" ht="12.75">
      <c r="A163">
        <v>138</v>
      </c>
      <c r="B163" s="20"/>
      <c r="D163" s="9"/>
      <c r="E163" s="8">
        <f>SUM(F163:W163)</f>
        <v>0</v>
      </c>
      <c r="W163" s="8">
        <f>SUM(X163:AP163)</f>
        <v>0</v>
      </c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</row>
    <row r="164" spans="1:44" ht="12.75">
      <c r="A164">
        <v>139</v>
      </c>
      <c r="B164" s="20"/>
      <c r="D164" s="9"/>
      <c r="E164" s="8">
        <f>SUM(F164:W164)</f>
        <v>0</v>
      </c>
      <c r="W164" s="8">
        <f>SUM(X164:AP164)</f>
        <v>0</v>
      </c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</row>
    <row r="165" spans="1:44" ht="12.75">
      <c r="A165">
        <v>140</v>
      </c>
      <c r="B165" s="20"/>
      <c r="D165" s="9"/>
      <c r="E165" s="8">
        <f>SUM(F165:W165)</f>
        <v>0</v>
      </c>
      <c r="W165" s="8">
        <f>SUM(X165:AP165)</f>
        <v>0</v>
      </c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</row>
    <row r="166" spans="1:44" ht="12.75">
      <c r="A166">
        <v>141</v>
      </c>
      <c r="B166" s="20"/>
      <c r="D166" s="9"/>
      <c r="E166" s="8">
        <f>SUM(F166:W166)</f>
        <v>0</v>
      </c>
      <c r="W166" s="8">
        <f>SUM(X166:AP166)</f>
        <v>0</v>
      </c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</row>
    <row r="167" spans="1:44" ht="12.75">
      <c r="A167">
        <v>142</v>
      </c>
      <c r="B167" s="20"/>
      <c r="D167" s="9"/>
      <c r="E167" s="8">
        <f>SUM(F167:W167)</f>
        <v>0</v>
      </c>
      <c r="W167" s="8">
        <f>SUM(X167:AP167)</f>
        <v>0</v>
      </c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</row>
    <row r="168" spans="1:44" ht="12.75">
      <c r="A168">
        <v>143</v>
      </c>
      <c r="B168" s="20"/>
      <c r="D168" s="9"/>
      <c r="E168" s="8">
        <f>SUM(F168:W168)</f>
        <v>0</v>
      </c>
      <c r="W168" s="8">
        <f>SUM(X168:AP168)</f>
        <v>0</v>
      </c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</row>
    <row r="169" spans="1:44" ht="12.75">
      <c r="A169">
        <v>144</v>
      </c>
      <c r="B169" s="20"/>
      <c r="D169" s="9"/>
      <c r="E169" s="8">
        <f>SUM(F169:W169)</f>
        <v>0</v>
      </c>
      <c r="W169" s="8">
        <f>SUM(X169:AP169)</f>
        <v>0</v>
      </c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</row>
    <row r="170" spans="1:44" ht="12.75">
      <c r="A170">
        <v>145</v>
      </c>
      <c r="B170" s="20"/>
      <c r="D170" s="9"/>
      <c r="E170" s="8">
        <f>SUM(F170:W170)</f>
        <v>0</v>
      </c>
      <c r="W170" s="8">
        <f>SUM(X170:AP170)</f>
        <v>0</v>
      </c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</row>
    <row r="171" spans="1:44" ht="12.75">
      <c r="A171">
        <v>146</v>
      </c>
      <c r="B171" s="20"/>
      <c r="D171" s="9"/>
      <c r="E171" s="8">
        <f>SUM(F171:W171)</f>
        <v>0</v>
      </c>
      <c r="W171" s="8">
        <f>SUM(X171:AP171)</f>
        <v>0</v>
      </c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</row>
    <row r="172" spans="1:44" ht="12.75">
      <c r="A172">
        <v>147</v>
      </c>
      <c r="B172" s="20"/>
      <c r="D172" s="9"/>
      <c r="E172" s="8">
        <f>SUM(F172:W172)</f>
        <v>0</v>
      </c>
      <c r="W172" s="8">
        <f>SUM(X172:AP172)</f>
        <v>0</v>
      </c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</row>
    <row r="173" spans="1:44" ht="12.75">
      <c r="A173">
        <v>148</v>
      </c>
      <c r="B173" s="20"/>
      <c r="D173" s="9"/>
      <c r="E173" s="8">
        <f>SUM(F173:W173)</f>
        <v>0</v>
      </c>
      <c r="W173" s="8">
        <f>SUM(X173:AP173)</f>
        <v>0</v>
      </c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</row>
    <row r="174" spans="1:44" ht="12.75">
      <c r="A174">
        <v>149</v>
      </c>
      <c r="B174" s="20"/>
      <c r="D174" s="9"/>
      <c r="E174" s="8">
        <f>SUM(F174:W174)</f>
        <v>0</v>
      </c>
      <c r="W174" s="8">
        <f>SUM(X174:AP174)</f>
        <v>0</v>
      </c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</row>
    <row r="175" spans="1:44" ht="12.75">
      <c r="A175">
        <v>150</v>
      </c>
      <c r="B175" s="20"/>
      <c r="D175" s="9"/>
      <c r="E175" s="8">
        <f>SUM(F175:W175)</f>
        <v>0</v>
      </c>
      <c r="W175" s="8">
        <f>SUM(X175:AP175)</f>
        <v>0</v>
      </c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</row>
    <row r="176" spans="1:44" ht="12.75">
      <c r="A176">
        <v>151</v>
      </c>
      <c r="B176" s="20"/>
      <c r="D176" s="9"/>
      <c r="E176" s="8">
        <f>SUM(F176:W176)</f>
        <v>0</v>
      </c>
      <c r="W176" s="8">
        <f>SUM(X176:AP176)</f>
        <v>0</v>
      </c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1"/>
      <c r="AQ176" s="1"/>
      <c r="AR176" s="8"/>
    </row>
    <row r="177" spans="1:44" ht="12.75">
      <c r="A177">
        <v>152</v>
      </c>
      <c r="B177" s="20"/>
      <c r="D177" s="9"/>
      <c r="E177" s="8">
        <f>SUM(F177:W177)</f>
        <v>0</v>
      </c>
      <c r="W177" s="8">
        <f>SUM(X177:AP177)</f>
        <v>0</v>
      </c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</row>
    <row r="178" spans="1:44" ht="12.75">
      <c r="A178">
        <v>153</v>
      </c>
      <c r="B178" s="20"/>
      <c r="D178" s="9"/>
      <c r="E178" s="8">
        <f>SUM(F178:W178)</f>
        <v>0</v>
      </c>
      <c r="W178" s="8">
        <f>SUM(X178:AP178)</f>
        <v>0</v>
      </c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</row>
    <row r="179" spans="1:44" ht="12.75">
      <c r="A179">
        <v>154</v>
      </c>
      <c r="B179" s="20"/>
      <c r="D179" s="9"/>
      <c r="E179" s="8">
        <f>SUM(F179:W179)</f>
        <v>0</v>
      </c>
      <c r="W179" s="8">
        <f>SUM(X179:AP179)</f>
        <v>0</v>
      </c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</row>
    <row r="180" spans="1:44" ht="12.75">
      <c r="A180" s="21">
        <v>155</v>
      </c>
      <c r="B180" s="20"/>
      <c r="D180" s="9"/>
      <c r="E180" s="8">
        <f>SUM(F180:W180)</f>
        <v>0</v>
      </c>
      <c r="W180" s="8">
        <f>SUM(X180:AP180)</f>
        <v>0</v>
      </c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</row>
    <row r="181" spans="1:44" ht="12.75">
      <c r="A181">
        <v>156</v>
      </c>
      <c r="B181" s="20"/>
      <c r="D181" s="9"/>
      <c r="E181" s="8">
        <f>SUM(F181:W181)</f>
        <v>0</v>
      </c>
      <c r="W181" s="8">
        <f>SUM(X181:AP181)</f>
        <v>0</v>
      </c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</row>
    <row r="182" spans="1:44" ht="12.75">
      <c r="A182">
        <v>157</v>
      </c>
      <c r="B182" s="20"/>
      <c r="D182" s="9"/>
      <c r="E182" s="8">
        <f>SUM(F182:W182)</f>
        <v>0</v>
      </c>
      <c r="W182" s="8">
        <f>SUM(X182:AP182)</f>
        <v>0</v>
      </c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</row>
    <row r="183" spans="1:44" ht="12.75">
      <c r="A183">
        <v>158</v>
      </c>
      <c r="B183" s="20"/>
      <c r="D183" s="9"/>
      <c r="E183" s="8">
        <f>SUM(F183:W183)</f>
        <v>0</v>
      </c>
      <c r="W183" s="8">
        <f>SUM(X183:AP183)</f>
        <v>0</v>
      </c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</row>
    <row r="184" spans="1:44" ht="12.75">
      <c r="A184">
        <v>159</v>
      </c>
      <c r="B184" s="20"/>
      <c r="D184" s="9"/>
      <c r="E184" s="8">
        <f>SUM(F184:W184)</f>
        <v>0</v>
      </c>
      <c r="W184" s="8">
        <f>SUM(X184:AP184)</f>
        <v>0</v>
      </c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</row>
    <row r="185" spans="1:44" ht="12.75">
      <c r="A185">
        <v>160</v>
      </c>
      <c r="B185" s="20"/>
      <c r="D185" s="9"/>
      <c r="E185" s="8">
        <f>SUM(F185:W185)</f>
        <v>0</v>
      </c>
      <c r="W185" s="8">
        <f>SUM(X185:AP185)</f>
        <v>0</v>
      </c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</row>
    <row r="186" spans="1:44" ht="12.75">
      <c r="A186">
        <v>161</v>
      </c>
      <c r="B186" s="20"/>
      <c r="D186" s="9"/>
      <c r="E186" s="8">
        <f>SUM(F186:W186)</f>
        <v>0</v>
      </c>
      <c r="W186" s="8">
        <f>SUM(X186:AP186)</f>
        <v>0</v>
      </c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</row>
    <row r="187" spans="1:44" ht="12.75">
      <c r="A187">
        <v>162</v>
      </c>
      <c r="B187" s="20"/>
      <c r="D187" s="9"/>
      <c r="E187" s="8">
        <f>SUM(F187:W187)</f>
        <v>0</v>
      </c>
      <c r="W187" s="8">
        <f>SUM(X187:AP187)</f>
        <v>0</v>
      </c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</row>
    <row r="188" spans="1:44" ht="12.75">
      <c r="A188">
        <v>163</v>
      </c>
      <c r="B188" s="20"/>
      <c r="D188" s="9"/>
      <c r="E188" s="8">
        <f>SUM(F188:W188)</f>
        <v>0</v>
      </c>
      <c r="W188" s="8">
        <f>SUM(X188:AP188)</f>
        <v>0</v>
      </c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</row>
    <row r="189" spans="1:44" ht="12.75">
      <c r="A189">
        <v>164</v>
      </c>
      <c r="B189" s="20"/>
      <c r="D189" s="9"/>
      <c r="E189" s="8">
        <f>SUM(F189:W189)</f>
        <v>0</v>
      </c>
      <c r="W189" s="8">
        <f>SUM(X189:AP189)</f>
        <v>0</v>
      </c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</row>
    <row r="190" spans="1:44" ht="12.75">
      <c r="A190">
        <v>165</v>
      </c>
      <c r="B190" s="20"/>
      <c r="D190" s="9"/>
      <c r="E190" s="8">
        <f>SUM(F190:W190)</f>
        <v>0</v>
      </c>
      <c r="W190" s="8">
        <f>SUM(X190:AP190)</f>
        <v>0</v>
      </c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</row>
    <row r="191" spans="1:44" ht="12.75">
      <c r="A191">
        <v>166</v>
      </c>
      <c r="B191" s="20"/>
      <c r="D191" s="9"/>
      <c r="E191" s="8">
        <f>SUM(F191:W191)</f>
        <v>0</v>
      </c>
      <c r="W191" s="8">
        <f>SUM(X191:AP191)</f>
        <v>0</v>
      </c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</row>
    <row r="192" spans="1:44" ht="12.75">
      <c r="A192">
        <v>167</v>
      </c>
      <c r="B192" s="20"/>
      <c r="D192" s="9"/>
      <c r="E192" s="8">
        <f>SUM(F192:W192)</f>
        <v>0</v>
      </c>
      <c r="W192" s="8">
        <f>SUM(X192:AP192)</f>
        <v>0</v>
      </c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</row>
    <row r="193" spans="1:44" ht="12.75">
      <c r="A193">
        <v>168</v>
      </c>
      <c r="B193" s="20"/>
      <c r="D193" s="9"/>
      <c r="E193" s="8">
        <f>SUM(F193:W193)</f>
        <v>0</v>
      </c>
      <c r="W193" s="8">
        <f>SUM(X193:AP193)</f>
        <v>0</v>
      </c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</row>
    <row r="194" spans="1:44" ht="12.75">
      <c r="A194">
        <v>169</v>
      </c>
      <c r="B194" s="20"/>
      <c r="D194" s="9"/>
      <c r="E194" s="8">
        <f>SUM(F194:W194)</f>
        <v>0</v>
      </c>
      <c r="W194" s="8">
        <f>SUM(X194:AP194)</f>
        <v>0</v>
      </c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</row>
    <row r="195" spans="1:44" ht="12.75">
      <c r="A195">
        <v>170</v>
      </c>
      <c r="B195" s="20"/>
      <c r="D195" s="9"/>
      <c r="E195" s="8">
        <f>SUM(F195:W195)</f>
        <v>0</v>
      </c>
      <c r="W195" s="8">
        <f>SUM(X195:AP195)</f>
        <v>0</v>
      </c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</row>
    <row r="196" spans="1:44" ht="12.75">
      <c r="A196">
        <v>171</v>
      </c>
      <c r="B196" s="20"/>
      <c r="D196" s="9"/>
      <c r="E196" s="8">
        <f>SUM(F196:W196)</f>
        <v>0</v>
      </c>
      <c r="W196" s="8">
        <f>SUM(X196:AP196)</f>
        <v>0</v>
      </c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</row>
    <row r="197" spans="1:44" ht="12.75">
      <c r="A197">
        <v>172</v>
      </c>
      <c r="B197" s="20"/>
      <c r="D197" s="9"/>
      <c r="E197" s="8">
        <f>SUM(F197:W197)</f>
        <v>0</v>
      </c>
      <c r="W197" s="8">
        <f>SUM(X197:AP197)</f>
        <v>0</v>
      </c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</row>
    <row r="198" spans="1:44" ht="12.75">
      <c r="A198">
        <v>173</v>
      </c>
      <c r="B198" s="20"/>
      <c r="D198" s="9"/>
      <c r="E198" s="8">
        <f>SUM(F198:W198)</f>
        <v>0</v>
      </c>
      <c r="W198" s="8">
        <f>SUM(X198:AP198)</f>
        <v>0</v>
      </c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</row>
    <row r="199" spans="1:44" ht="12.75">
      <c r="A199">
        <v>174</v>
      </c>
      <c r="B199" s="20"/>
      <c r="D199" s="9"/>
      <c r="E199" s="8">
        <f>SUM(F199:W199)</f>
        <v>0</v>
      </c>
      <c r="W199" s="8">
        <f>SUM(X199:AP199)</f>
        <v>0</v>
      </c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</row>
    <row r="200" spans="1:44" ht="12.75">
      <c r="A200">
        <v>175</v>
      </c>
      <c r="B200" s="20"/>
      <c r="D200" s="9"/>
      <c r="E200" s="8">
        <f>SUM(F200:W200)</f>
        <v>0</v>
      </c>
      <c r="W200" s="8">
        <f>SUM(X200:AP200)</f>
        <v>0</v>
      </c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</row>
    <row r="201" spans="1:44" ht="12.75">
      <c r="A201">
        <v>176</v>
      </c>
      <c r="B201" s="20"/>
      <c r="D201" s="9"/>
      <c r="E201" s="8">
        <f>SUM(F201:W201)</f>
        <v>0</v>
      </c>
      <c r="W201" s="8">
        <f>SUM(X201:AP201)</f>
        <v>0</v>
      </c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</row>
    <row r="202" spans="1:44" ht="12.75">
      <c r="A202">
        <v>177</v>
      </c>
      <c r="B202" s="20"/>
      <c r="D202" s="9"/>
      <c r="E202" s="8">
        <f>SUM(F202:W202)</f>
        <v>0</v>
      </c>
      <c r="W202" s="8">
        <f>SUM(X202:AP202)</f>
        <v>0</v>
      </c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</row>
    <row r="203" spans="1:44" ht="12.75">
      <c r="A203">
        <v>178</v>
      </c>
      <c r="B203" s="20"/>
      <c r="D203" s="9"/>
      <c r="E203" s="8">
        <f>SUM(F203:W203)</f>
        <v>0</v>
      </c>
      <c r="W203" s="8">
        <f>SUM(X203:AP203)</f>
        <v>0</v>
      </c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</row>
    <row r="204" spans="1:44" ht="12.75">
      <c r="A204">
        <v>179</v>
      </c>
      <c r="B204" s="20"/>
      <c r="D204" s="9"/>
      <c r="E204" s="8">
        <f>SUM(F204:W204)</f>
        <v>0</v>
      </c>
      <c r="W204" s="8">
        <f>SUM(X204:AP204)</f>
        <v>0</v>
      </c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</row>
    <row r="205" spans="1:44" ht="12.75">
      <c r="A205">
        <v>180</v>
      </c>
      <c r="B205" s="20"/>
      <c r="D205" s="9"/>
      <c r="E205" s="8">
        <f>SUM(F205:W205)</f>
        <v>0</v>
      </c>
      <c r="W205" s="8">
        <f>SUM(X205:AP205)</f>
        <v>0</v>
      </c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</row>
    <row r="206" spans="1:44" ht="12.75">
      <c r="A206">
        <v>181</v>
      </c>
      <c r="B206" s="20"/>
      <c r="D206" s="9"/>
      <c r="E206" s="8">
        <f>SUM(F206:W206)</f>
        <v>0</v>
      </c>
      <c r="W206" s="8">
        <f>SUM(X206:AP206)</f>
        <v>0</v>
      </c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</row>
    <row r="207" spans="1:44" ht="12.75">
      <c r="A207">
        <v>182</v>
      </c>
      <c r="B207" s="20"/>
      <c r="D207" s="9"/>
      <c r="E207" s="8">
        <f>SUM(F207:W207)</f>
        <v>0</v>
      </c>
      <c r="W207" s="8">
        <f>SUM(X207:AP207)</f>
        <v>0</v>
      </c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</row>
    <row r="208" spans="1:44" ht="12.75">
      <c r="A208">
        <v>183</v>
      </c>
      <c r="B208" s="20"/>
      <c r="D208" s="9"/>
      <c r="E208" s="8">
        <f>SUM(F208:W208)</f>
        <v>0</v>
      </c>
      <c r="W208" s="8">
        <f>SUM(X208:AP208)</f>
        <v>0</v>
      </c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</row>
    <row r="209" spans="1:44" ht="12.75">
      <c r="A209">
        <v>184</v>
      </c>
      <c r="B209" s="20"/>
      <c r="D209" s="9"/>
      <c r="E209" s="8">
        <f>SUM(F209:W209)</f>
        <v>0</v>
      </c>
      <c r="W209" s="8">
        <f>SUM(X209:AP209)</f>
        <v>0</v>
      </c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</row>
    <row r="210" spans="1:44" ht="12.75">
      <c r="A210">
        <v>185</v>
      </c>
      <c r="B210" s="20"/>
      <c r="D210" s="9"/>
      <c r="E210" s="8">
        <f>SUM(F210:W210)</f>
        <v>0</v>
      </c>
      <c r="W210" s="8">
        <f>SUM(X210:AP210)</f>
        <v>0</v>
      </c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</row>
    <row r="211" spans="1:44" ht="12.75">
      <c r="A211">
        <v>186</v>
      </c>
      <c r="B211" s="20"/>
      <c r="D211" s="9"/>
      <c r="E211" s="8">
        <f>SUM(F211:W211)</f>
        <v>0</v>
      </c>
      <c r="W211" s="8">
        <f>SUM(X211:AP211)</f>
        <v>0</v>
      </c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</row>
    <row r="212" spans="1:44" ht="12.75">
      <c r="A212">
        <v>187</v>
      </c>
      <c r="B212" s="20"/>
      <c r="D212" s="9"/>
      <c r="E212" s="8">
        <f>SUM(F212:W212)</f>
        <v>0</v>
      </c>
      <c r="W212" s="8">
        <f>SUM(X212:AP212)</f>
        <v>0</v>
      </c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</row>
    <row r="213" spans="1:44" ht="12.75">
      <c r="A213">
        <v>188</v>
      </c>
      <c r="B213" s="20"/>
      <c r="E213" s="8">
        <f>SUM(F213:W213)</f>
        <v>0</v>
      </c>
      <c r="W213" s="8">
        <f>SUM(X213:AP213)</f>
        <v>0</v>
      </c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</row>
    <row r="214" spans="1:44" ht="12.75">
      <c r="A214">
        <v>189</v>
      </c>
      <c r="B214" s="20"/>
      <c r="D214" s="4"/>
      <c r="E214" s="8">
        <f>SUM(F214:W214)</f>
        <v>0</v>
      </c>
      <c r="W214" s="8">
        <f>SUM(X214:AP214)</f>
        <v>0</v>
      </c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</row>
    <row r="215" spans="1:44" ht="12.75">
      <c r="A215">
        <v>190</v>
      </c>
      <c r="B215" s="20"/>
      <c r="D215" s="4"/>
      <c r="E215" s="8">
        <f>SUM(F215:W215)</f>
        <v>0</v>
      </c>
      <c r="W215" s="8">
        <f>SUM(X215:AP215)</f>
        <v>0</v>
      </c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</row>
    <row r="216" spans="1:44" ht="12.75">
      <c r="A216">
        <v>191</v>
      </c>
      <c r="B216" s="20"/>
      <c r="E216" s="8">
        <f>SUM(F216:W216)</f>
        <v>0</v>
      </c>
      <c r="W216" s="8">
        <f>SUM(X216:AP216)</f>
        <v>0</v>
      </c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1"/>
      <c r="AQ216" s="8"/>
      <c r="AR216" s="8"/>
    </row>
    <row r="217" spans="1:44" ht="12.75">
      <c r="A217">
        <v>192</v>
      </c>
      <c r="B217" s="20"/>
      <c r="E217" s="8">
        <f>SUM(F217:W217)</f>
        <v>0</v>
      </c>
      <c r="W217" s="8">
        <f>SUM(X217:AP217)</f>
        <v>0</v>
      </c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</row>
    <row r="218" spans="1:44" ht="12.75">
      <c r="A218">
        <v>193</v>
      </c>
      <c r="B218" s="20"/>
      <c r="E218" s="8">
        <f>SUM(F218:W218)</f>
        <v>0</v>
      </c>
      <c r="W218" s="8">
        <f>SUM(X218:AP218)</f>
        <v>0</v>
      </c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</row>
    <row r="219" spans="1:44" ht="12.75">
      <c r="A219">
        <v>194</v>
      </c>
      <c r="B219" s="20"/>
      <c r="E219" s="8">
        <f>SUM(F219:W219)</f>
        <v>0</v>
      </c>
      <c r="W219" s="8">
        <f>SUM(X219:AP219)</f>
        <v>0</v>
      </c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</row>
    <row r="220" spans="1:44" ht="12.75">
      <c r="A220">
        <v>195</v>
      </c>
      <c r="B220" s="20"/>
      <c r="E220" s="8">
        <f>SUM(F220:W220)</f>
        <v>0</v>
      </c>
      <c r="W220" s="8">
        <f>SUM(X220:AP220)</f>
        <v>0</v>
      </c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</row>
    <row r="221" spans="1:44" ht="12.75">
      <c r="A221">
        <v>196</v>
      </c>
      <c r="B221" s="20"/>
      <c r="E221" s="8">
        <f>SUM(F221:W221)</f>
        <v>0</v>
      </c>
      <c r="W221" s="8">
        <f>SUM(X221:AP221)</f>
        <v>0</v>
      </c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</row>
    <row r="222" spans="1:44" ht="12.75">
      <c r="A222">
        <v>197</v>
      </c>
      <c r="B222" s="20"/>
      <c r="E222" s="8">
        <f>SUM(F222:W222)</f>
        <v>0</v>
      </c>
      <c r="W222" s="8">
        <f>SUM(X222:AP222)</f>
        <v>0</v>
      </c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</row>
    <row r="223" spans="1:44" ht="12.75">
      <c r="A223">
        <v>198</v>
      </c>
      <c r="B223" s="20"/>
      <c r="E223" s="8">
        <f>SUM(F223:W223)</f>
        <v>0</v>
      </c>
      <c r="W223" s="8">
        <f>SUM(X223:AP223)</f>
        <v>0</v>
      </c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</row>
    <row r="224" spans="1:44" ht="12.75">
      <c r="A224">
        <v>199</v>
      </c>
      <c r="B224" s="20"/>
      <c r="E224" s="8">
        <f>SUM(F224:W224)</f>
        <v>0</v>
      </c>
      <c r="W224" s="8">
        <f>SUM(X224:AP224)</f>
        <v>0</v>
      </c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</row>
    <row r="225" spans="1:44" ht="12.75">
      <c r="A225">
        <v>200</v>
      </c>
      <c r="B225" s="20"/>
      <c r="E225" s="8">
        <f>SUM(F225:W225)</f>
        <v>0</v>
      </c>
      <c r="W225" s="8">
        <f>SUM(X225:AP225)</f>
        <v>0</v>
      </c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</row>
    <row r="226" spans="1:44" ht="12.75">
      <c r="A226">
        <v>201</v>
      </c>
      <c r="B226" s="20"/>
      <c r="E226" s="8">
        <f>SUM(F226:W226)</f>
        <v>0</v>
      </c>
      <c r="W226" s="8">
        <f>SUM(X226:AP226)</f>
        <v>0</v>
      </c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</row>
    <row r="227" spans="1:44" ht="12.75">
      <c r="A227">
        <v>202</v>
      </c>
      <c r="B227" s="20"/>
      <c r="E227" s="8">
        <f>SUM(F227:W227)</f>
        <v>0</v>
      </c>
      <c r="W227" s="8">
        <f>SUM(X227:AP227)</f>
        <v>0</v>
      </c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</row>
    <row r="228" spans="1:44" ht="12.75">
      <c r="A228">
        <v>203</v>
      </c>
      <c r="B228" s="20"/>
      <c r="E228" s="8">
        <f>SUM(F228:W228)</f>
        <v>0</v>
      </c>
      <c r="W228" s="8">
        <f>SUM(X228:AP228)</f>
        <v>0</v>
      </c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</row>
    <row r="229" spans="1:44" ht="12.75">
      <c r="A229">
        <v>204</v>
      </c>
      <c r="B229" s="20"/>
      <c r="E229" s="8">
        <f>SUM(F229:W229)</f>
        <v>0</v>
      </c>
      <c r="W229" s="8">
        <f>SUM(X229:AP229)</f>
        <v>0</v>
      </c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</row>
    <row r="230" spans="1:44" ht="12.75">
      <c r="A230">
        <v>205</v>
      </c>
      <c r="B230" s="20"/>
      <c r="D230" s="22"/>
      <c r="E230" s="8">
        <f>SUM(F230:W230)</f>
        <v>0</v>
      </c>
      <c r="W230" s="8">
        <f>SUM(X230:AP230)</f>
        <v>0</v>
      </c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</row>
    <row r="231" spans="1:44" ht="12.75">
      <c r="A231">
        <v>206</v>
      </c>
      <c r="B231" s="20"/>
      <c r="D231" s="21"/>
      <c r="E231" s="8">
        <f>SUM(F231:W231)</f>
        <v>0</v>
      </c>
      <c r="W231" s="8">
        <f>SUM(X231:AP231)</f>
        <v>0</v>
      </c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</row>
    <row r="232" spans="1:44" ht="12.75">
      <c r="A232">
        <v>207</v>
      </c>
      <c r="B232" s="20"/>
      <c r="E232" s="8">
        <f>SUM(F232:W232)</f>
        <v>0</v>
      </c>
      <c r="W232" s="8">
        <f>SUM(X232:AP232)</f>
        <v>0</v>
      </c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</row>
    <row r="233" spans="1:44" ht="12.75">
      <c r="A233">
        <v>208</v>
      </c>
      <c r="B233" s="20"/>
      <c r="D233" s="21"/>
      <c r="E233" s="8">
        <f>SUM(F233:W233)</f>
        <v>0</v>
      </c>
      <c r="W233" s="8">
        <f>SUM(X233:AP233)</f>
        <v>0</v>
      </c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</row>
    <row r="234" spans="1:44" ht="12.75">
      <c r="A234">
        <v>209</v>
      </c>
      <c r="B234" s="20"/>
      <c r="E234" s="8">
        <f>SUM(F234:W234)</f>
        <v>0</v>
      </c>
      <c r="W234" s="8">
        <f>SUM(X234:AP234)</f>
        <v>0</v>
      </c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</row>
    <row r="235" spans="1:44" ht="12.75">
      <c r="A235">
        <v>210</v>
      </c>
      <c r="B235" s="20"/>
      <c r="E235" s="8">
        <f>SUM(F235:W235)</f>
        <v>0</v>
      </c>
      <c r="W235" s="8">
        <f>SUM(X235:AP235)</f>
        <v>0</v>
      </c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</row>
    <row r="236" spans="1:44" ht="12.75">
      <c r="A236">
        <v>211</v>
      </c>
      <c r="B236" s="20"/>
      <c r="E236" s="8">
        <f>SUM(F236:W236)</f>
        <v>0</v>
      </c>
      <c r="W236" s="8">
        <f>SUM(X236:AP236)</f>
        <v>0</v>
      </c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</row>
    <row r="237" spans="1:44" ht="12.75">
      <c r="A237">
        <v>212</v>
      </c>
      <c r="B237" s="20"/>
      <c r="D237" s="22"/>
      <c r="E237" s="8">
        <f>SUM(F237:W237)</f>
        <v>0</v>
      </c>
      <c r="W237" s="8">
        <f>SUM(X237:AP237)</f>
        <v>0</v>
      </c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</row>
    <row r="238" spans="1:44" ht="12.75">
      <c r="A238">
        <v>213</v>
      </c>
      <c r="B238" s="20"/>
      <c r="E238" s="8">
        <f>SUM(F238:W238)</f>
        <v>0</v>
      </c>
      <c r="W238" s="8">
        <f>SUM(X238:AP238)</f>
        <v>0</v>
      </c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</row>
    <row r="239" spans="1:44" ht="12.75">
      <c r="A239">
        <v>214</v>
      </c>
      <c r="B239" s="20"/>
      <c r="E239" s="8">
        <f>SUM(F239:W239)</f>
        <v>0</v>
      </c>
      <c r="W239" s="8">
        <f>SUM(X239:AP239)</f>
        <v>0</v>
      </c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</row>
    <row r="240" spans="1:44" ht="12.75">
      <c r="A240">
        <v>215</v>
      </c>
      <c r="B240" s="20"/>
      <c r="E240" s="8">
        <f>SUM(F240:W240)</f>
        <v>0</v>
      </c>
      <c r="W240" s="8">
        <f>SUM(X240:AP240)</f>
        <v>0</v>
      </c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</row>
    <row r="241" spans="1:44" ht="12.75">
      <c r="A241">
        <v>216</v>
      </c>
      <c r="B241" s="20"/>
      <c r="E241" s="8">
        <f>SUM(F241:W241)</f>
        <v>0</v>
      </c>
      <c r="W241" s="8">
        <f>SUM(X241:AP241)</f>
        <v>0</v>
      </c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</row>
    <row r="242" spans="1:44" ht="12.75">
      <c r="A242">
        <v>217</v>
      </c>
      <c r="B242" s="20"/>
      <c r="E242" s="8">
        <f>SUM(F242:W242)</f>
        <v>0</v>
      </c>
      <c r="W242" s="8">
        <f>SUM(X242:AP242)</f>
        <v>0</v>
      </c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</row>
    <row r="243" spans="1:44" ht="12.75">
      <c r="A243">
        <v>218</v>
      </c>
      <c r="B243" s="20"/>
      <c r="E243" s="8">
        <f>SUM(F243:W243)</f>
        <v>0</v>
      </c>
      <c r="W243" s="8">
        <f>SUM(X243:AP243)</f>
        <v>0</v>
      </c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</row>
    <row r="244" spans="1:44" ht="12.75">
      <c r="A244">
        <v>219</v>
      </c>
      <c r="B244" s="20"/>
      <c r="E244" s="8">
        <f>SUM(F244:W244)</f>
        <v>0</v>
      </c>
      <c r="W244" s="8">
        <f>SUM(X244:AP244)</f>
        <v>0</v>
      </c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</row>
    <row r="245" spans="1:44" ht="12.75">
      <c r="A245">
        <v>220</v>
      </c>
      <c r="B245" s="20"/>
      <c r="E245" s="8">
        <f>SUM(F245:W245)</f>
        <v>0</v>
      </c>
      <c r="W245" s="8">
        <f>SUM(X245:AP245)</f>
        <v>0</v>
      </c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</row>
    <row r="246" spans="1:44" ht="12.75">
      <c r="A246">
        <v>221</v>
      </c>
      <c r="B246" s="20"/>
      <c r="E246" s="8">
        <f>SUM(F246:W246)</f>
        <v>0</v>
      </c>
      <c r="W246" s="8">
        <f>SUM(X246:AP246)</f>
        <v>0</v>
      </c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</row>
    <row r="247" spans="1:44" ht="12.75">
      <c r="A247">
        <v>222</v>
      </c>
      <c r="B247" s="20"/>
      <c r="E247" s="8">
        <f>SUM(F247:W247)</f>
        <v>0</v>
      </c>
      <c r="W247" s="8">
        <f>SUM(X247:AP247)</f>
        <v>0</v>
      </c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</row>
    <row r="248" spans="1:44" ht="12.75">
      <c r="A248">
        <v>223</v>
      </c>
      <c r="B248" s="20"/>
      <c r="E248" s="8">
        <f>SUM(F248:W248)</f>
        <v>0</v>
      </c>
      <c r="W248" s="8">
        <f>SUM(X248:AP248)</f>
        <v>0</v>
      </c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</row>
    <row r="249" spans="1:44" ht="12.75">
      <c r="A249">
        <v>224</v>
      </c>
      <c r="B249" s="20"/>
      <c r="E249" s="8">
        <f>SUM(F249:W249)</f>
        <v>0</v>
      </c>
      <c r="W249" s="8">
        <f>SUM(X249:AP249)</f>
        <v>0</v>
      </c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</row>
    <row r="250" spans="1:44" ht="12.75">
      <c r="A250">
        <v>225</v>
      </c>
      <c r="B250" s="20"/>
      <c r="E250" s="8">
        <f>SUM(F250:W250)</f>
        <v>0</v>
      </c>
      <c r="W250" s="8">
        <f>SUM(X250:AP250)</f>
        <v>0</v>
      </c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</row>
    <row r="251" spans="1:44" ht="12.75">
      <c r="A251">
        <v>226</v>
      </c>
      <c r="B251" s="20"/>
      <c r="E251" s="8">
        <f>SUM(F251:W251)</f>
        <v>0</v>
      </c>
      <c r="W251" s="8">
        <f>SUM(X251:AP251)</f>
        <v>0</v>
      </c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</row>
    <row r="252" spans="1:44" ht="12.75">
      <c r="A252">
        <v>227</v>
      </c>
      <c r="B252" s="20"/>
      <c r="E252" s="8">
        <f>SUM(F252:W252)</f>
        <v>0</v>
      </c>
      <c r="W252" s="8">
        <f>SUM(X252:AP252)</f>
        <v>0</v>
      </c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</row>
    <row r="253" spans="1:44" ht="12.75">
      <c r="A253">
        <v>228</v>
      </c>
      <c r="B253" s="20"/>
      <c r="E253" s="8">
        <f>SUM(F253:W253)</f>
        <v>0</v>
      </c>
      <c r="W253" s="8">
        <f>SUM(X253:AP253)</f>
        <v>0</v>
      </c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</row>
    <row r="254" spans="1:44" ht="12.75">
      <c r="A254">
        <v>229</v>
      </c>
      <c r="B254" s="20"/>
      <c r="E254" s="8">
        <f>SUM(F254:W254)</f>
        <v>0</v>
      </c>
      <c r="W254" s="8">
        <f>SUM(X254:AP254)</f>
        <v>0</v>
      </c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</row>
    <row r="255" spans="1:44" ht="12.75">
      <c r="A255">
        <v>230</v>
      </c>
      <c r="B255" s="20"/>
      <c r="E255" s="8">
        <f>SUM(F255:W255)</f>
        <v>0</v>
      </c>
      <c r="W255" s="8">
        <f>SUM(X255:AP255)</f>
        <v>0</v>
      </c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</row>
    <row r="256" spans="1:44" ht="12.75">
      <c r="A256">
        <v>231</v>
      </c>
      <c r="B256" s="20"/>
      <c r="E256" s="8">
        <f>SUM(F256:W256)</f>
        <v>0</v>
      </c>
      <c r="W256" s="8">
        <f>SUM(X256:AP256)</f>
        <v>0</v>
      </c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</row>
    <row r="257" spans="1:44" ht="12.75">
      <c r="A257">
        <v>232</v>
      </c>
      <c r="B257" s="20"/>
      <c r="E257" s="8">
        <f>SUM(F257:W257)</f>
        <v>0</v>
      </c>
      <c r="W257" s="8">
        <f>SUM(X257:AP257)</f>
        <v>0</v>
      </c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</row>
    <row r="258" spans="1:44" ht="12.75">
      <c r="A258">
        <v>234</v>
      </c>
      <c r="B258" s="20"/>
      <c r="E258" s="8">
        <f>SUM(F258:W258)</f>
        <v>0</v>
      </c>
      <c r="W258" s="8">
        <f>SUM(X258:AP258)</f>
        <v>0</v>
      </c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</row>
    <row r="259" spans="1:44" ht="12.75">
      <c r="A259">
        <v>235</v>
      </c>
      <c r="B259" s="20"/>
      <c r="E259" s="8">
        <f>SUM(F259:W259)</f>
        <v>0</v>
      </c>
      <c r="W259" s="8">
        <f>SUM(X259:AP259)</f>
        <v>0</v>
      </c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</row>
    <row r="260" spans="1:44" ht="12.75">
      <c r="A260">
        <v>236</v>
      </c>
      <c r="B260" s="20"/>
      <c r="E260" s="8">
        <f>SUM(F260:W260)</f>
        <v>0</v>
      </c>
      <c r="W260" s="8">
        <f>SUM(X260:AP260)</f>
        <v>0</v>
      </c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</row>
    <row r="261" spans="1:44" ht="12.75">
      <c r="A261">
        <v>237</v>
      </c>
      <c r="B261" s="20"/>
      <c r="E261" s="8">
        <f>SUM(F261:W261)</f>
        <v>0</v>
      </c>
      <c r="W261" s="8">
        <f>SUM(X261:AP261)</f>
        <v>0</v>
      </c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</row>
    <row r="262" spans="1:44" ht="12.75">
      <c r="A262">
        <v>238</v>
      </c>
      <c r="B262" s="20"/>
      <c r="E262" s="8">
        <f>SUM(F262:W262)</f>
        <v>0</v>
      </c>
      <c r="W262" s="8">
        <f>SUM(X262:AP262)</f>
        <v>0</v>
      </c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</row>
    <row r="263" spans="1:44" ht="12.75">
      <c r="A263">
        <v>239</v>
      </c>
      <c r="B263" s="20"/>
      <c r="E263" s="8">
        <f>SUM(F263:W263)</f>
        <v>0</v>
      </c>
      <c r="W263" s="8">
        <f>SUM(X263:AP263)</f>
        <v>0</v>
      </c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</row>
    <row r="264" spans="1:44" ht="12.75">
      <c r="A264">
        <v>240</v>
      </c>
      <c r="B264" s="20"/>
      <c r="E264" s="8">
        <f>SUM(F264:W264)</f>
        <v>0</v>
      </c>
      <c r="W264" s="8">
        <f>SUM(X264:AP264)</f>
        <v>0</v>
      </c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</row>
    <row r="265" spans="1:44" ht="12.75">
      <c r="A265">
        <v>241</v>
      </c>
      <c r="B265" s="20"/>
      <c r="E265" s="8">
        <f>SUM(F265:W265)</f>
        <v>0</v>
      </c>
      <c r="W265" s="8">
        <f>SUM(X265:AP265)</f>
        <v>0</v>
      </c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</row>
    <row r="266" spans="1:44" ht="12.75">
      <c r="A266">
        <v>242</v>
      </c>
      <c r="B266" s="20"/>
      <c r="E266" s="8">
        <f>SUM(F266:W266)</f>
        <v>0</v>
      </c>
      <c r="W266" s="8">
        <f>SUM(X266:AP266)</f>
        <v>0</v>
      </c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</row>
    <row r="267" spans="1:44" ht="12.75">
      <c r="A267">
        <v>243</v>
      </c>
      <c r="B267" s="20"/>
      <c r="E267" s="8">
        <f>SUM(F267:W267)</f>
        <v>0</v>
      </c>
      <c r="W267" s="8">
        <f>SUM(X267:AP267)</f>
        <v>0</v>
      </c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</row>
    <row r="268" spans="1:44" ht="12.75">
      <c r="A268">
        <v>244</v>
      </c>
      <c r="B268" s="20"/>
      <c r="E268" s="8">
        <f>SUM(F268:W268)</f>
        <v>0</v>
      </c>
      <c r="W268" s="8">
        <f>SUM(X268:AP268)</f>
        <v>0</v>
      </c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</row>
    <row r="269" spans="1:44" ht="12.75">
      <c r="A269">
        <v>255</v>
      </c>
      <c r="B269" s="20"/>
      <c r="E269" s="8">
        <f>SUM(F269:W269)</f>
        <v>0</v>
      </c>
      <c r="W269" s="8">
        <f>SUM(X269:AP269)</f>
        <v>0</v>
      </c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</row>
    <row r="270" spans="1:44" ht="12.75">
      <c r="A270">
        <v>256</v>
      </c>
      <c r="B270" s="20"/>
      <c r="E270" s="8">
        <f>SUM(F270:W270)</f>
        <v>0</v>
      </c>
      <c r="W270" s="8">
        <f>SUM(X270:AP270)</f>
        <v>0</v>
      </c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</row>
    <row r="271" spans="1:44" ht="12.75">
      <c r="A271">
        <v>257</v>
      </c>
      <c r="B271" s="20"/>
      <c r="E271" s="8">
        <f>SUM(F271:W271)</f>
        <v>0</v>
      </c>
      <c r="W271" s="8">
        <f>SUM(X271:AP271)</f>
        <v>0</v>
      </c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</row>
    <row r="272" spans="1:44" ht="12.75">
      <c r="A272">
        <v>258</v>
      </c>
      <c r="B272" s="20"/>
      <c r="E272" s="8">
        <f>SUM(F272:W272)</f>
        <v>0</v>
      </c>
      <c r="W272" s="8">
        <f>SUM(X272:AP272)</f>
        <v>0</v>
      </c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</row>
    <row r="273" spans="1:44" ht="12.75">
      <c r="A273">
        <v>259</v>
      </c>
      <c r="B273" s="20"/>
      <c r="E273" s="8">
        <f>SUM(F273:W273)</f>
        <v>0</v>
      </c>
      <c r="W273" s="8">
        <f>SUM(X273:AP273)</f>
        <v>0</v>
      </c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</row>
    <row r="274" spans="1:44" ht="12.75">
      <c r="A274">
        <v>257</v>
      </c>
      <c r="B274" s="20"/>
      <c r="E274" s="8">
        <f>SUM(F274:W274)</f>
        <v>0</v>
      </c>
      <c r="W274" s="8">
        <f>SUM(X274:AP274)</f>
        <v>0</v>
      </c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</row>
    <row r="275" spans="1:44" ht="12.75">
      <c r="A275">
        <v>258</v>
      </c>
      <c r="B275" s="20"/>
      <c r="E275" s="8">
        <f>SUM(F275:W275)</f>
        <v>0</v>
      </c>
      <c r="W275" s="8">
        <f>SUM(X275:AP275)</f>
        <v>0</v>
      </c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</row>
    <row r="276" spans="1:44" ht="12.75">
      <c r="A276">
        <v>259</v>
      </c>
      <c r="B276" s="20"/>
      <c r="E276" s="8">
        <f>SUM(F276:W276)</f>
        <v>0</v>
      </c>
      <c r="W276" s="8">
        <f>SUM(X276:AP276)</f>
        <v>0</v>
      </c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</row>
    <row r="277" spans="1:44" ht="12.75">
      <c r="A277">
        <v>260</v>
      </c>
      <c r="B277" s="20"/>
      <c r="E277" s="8">
        <f>SUM(F277:W277)</f>
        <v>0</v>
      </c>
      <c r="W277" s="8">
        <f>SUM(X277:AP277)</f>
        <v>0</v>
      </c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</row>
    <row r="278" spans="1:44" ht="12.75">
      <c r="A278">
        <v>261</v>
      </c>
      <c r="B278" s="20"/>
      <c r="E278" s="8">
        <f>SUM(F278:W278)</f>
        <v>0</v>
      </c>
      <c r="W278" s="8">
        <f>SUM(X278:AP278)</f>
        <v>0</v>
      </c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</row>
    <row r="279" spans="1:44" ht="12.75">
      <c r="A279">
        <v>262</v>
      </c>
      <c r="B279" s="20"/>
      <c r="E279" s="8">
        <f>SUM(F279:W279)</f>
        <v>0</v>
      </c>
      <c r="W279" s="8">
        <f>SUM(X279:AP279)</f>
        <v>0</v>
      </c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</row>
    <row r="280" spans="1:44" ht="12.75">
      <c r="A280">
        <v>263</v>
      </c>
      <c r="B280" s="20"/>
      <c r="E280" s="8">
        <f>SUM(F280:W280)</f>
        <v>0</v>
      </c>
      <c r="W280" s="8">
        <f>SUM(X280:AP280)</f>
        <v>0</v>
      </c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</row>
    <row r="281" spans="1:44" ht="12.75">
      <c r="A281">
        <v>264</v>
      </c>
      <c r="B281" s="20"/>
      <c r="E281" s="8">
        <f>SUM(F281:W281)</f>
        <v>0</v>
      </c>
      <c r="W281" s="8">
        <f>SUM(X281:AP281)</f>
        <v>0</v>
      </c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</row>
    <row r="282" spans="1:44" ht="12.75">
      <c r="A282">
        <v>264</v>
      </c>
      <c r="B282" s="20"/>
      <c r="E282" s="8">
        <f>SUM(F282:W282)</f>
        <v>0</v>
      </c>
      <c r="W282" s="8">
        <f>SUM(X282:AP282)</f>
        <v>0</v>
      </c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</row>
    <row r="283" spans="1:44" ht="12.75">
      <c r="A283">
        <v>265</v>
      </c>
      <c r="B283" s="20"/>
      <c r="E283" s="8">
        <f>SUM(F283:W283)</f>
        <v>0</v>
      </c>
      <c r="W283" s="8">
        <f>SUM(X283:AP283)</f>
        <v>0</v>
      </c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1"/>
      <c r="AP283" s="1"/>
      <c r="AQ283" s="8"/>
      <c r="AR283" s="8"/>
    </row>
    <row r="284" spans="1:44" ht="12.75">
      <c r="A284">
        <v>266</v>
      </c>
      <c r="B284" s="20"/>
      <c r="E284" s="8">
        <f>SUM(F284:W284)</f>
        <v>0</v>
      </c>
      <c r="W284" s="8">
        <f>SUM(X284:AP284)</f>
        <v>0</v>
      </c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1"/>
      <c r="AP284" s="8"/>
      <c r="AQ284" s="8"/>
      <c r="AR284" s="8"/>
    </row>
    <row r="285" spans="1:44" ht="12.75">
      <c r="A285">
        <v>267</v>
      </c>
      <c r="B285" s="20"/>
      <c r="E285" s="8">
        <f>SUM(F285:W285)</f>
        <v>0</v>
      </c>
      <c r="W285" s="8">
        <f>SUM(X285:AP285)</f>
        <v>0</v>
      </c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</row>
    <row r="286" spans="1:44" ht="12.75">
      <c r="A286">
        <v>268</v>
      </c>
      <c r="B286" s="20"/>
      <c r="E286" s="8">
        <f>SUM(F286:W286)</f>
        <v>0</v>
      </c>
      <c r="W286" s="8">
        <f>SUM(X286:AP286)</f>
        <v>0</v>
      </c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</row>
    <row r="287" spans="1:44" ht="12.75">
      <c r="A287">
        <v>269</v>
      </c>
      <c r="B287" s="20"/>
      <c r="E287" s="8">
        <f>SUM(F287:W287)</f>
        <v>0</v>
      </c>
      <c r="W287" s="8">
        <f>SUM(X287:AP287)</f>
        <v>0</v>
      </c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</row>
    <row r="288" spans="1:44" ht="12.75">
      <c r="A288">
        <v>270</v>
      </c>
      <c r="B288" s="20"/>
      <c r="E288" s="8">
        <f>SUM(F288:W288)</f>
        <v>0</v>
      </c>
      <c r="W288" s="8">
        <f>SUM(X288:AP288)</f>
        <v>0</v>
      </c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</row>
    <row r="289" spans="1:44" ht="12.75">
      <c r="A289">
        <v>271</v>
      </c>
      <c r="B289" s="20"/>
      <c r="E289" s="8">
        <f>SUM(F289:W289)</f>
        <v>0</v>
      </c>
      <c r="W289" s="8">
        <f>SUM(X289:AP289)</f>
        <v>0</v>
      </c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</row>
    <row r="290" spans="1:44" ht="12.75">
      <c r="A290">
        <v>273</v>
      </c>
      <c r="B290" s="20"/>
      <c r="E290" s="8">
        <f>SUM(F290:W290)</f>
        <v>0</v>
      </c>
      <c r="W290" s="8">
        <f>SUM(X290:AP290)</f>
        <v>0</v>
      </c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</row>
    <row r="291" spans="1:44" ht="12.75">
      <c r="A291">
        <v>274</v>
      </c>
      <c r="B291" s="20"/>
      <c r="E291" s="8">
        <f>SUM(F291:W291)</f>
        <v>0</v>
      </c>
      <c r="W291" s="8">
        <f>SUM(X291:AP291)</f>
        <v>0</v>
      </c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</row>
    <row r="292" spans="1:44" ht="12.75">
      <c r="A292">
        <v>275</v>
      </c>
      <c r="B292" s="20"/>
      <c r="E292" s="8">
        <f>SUM(F292:W292)</f>
        <v>0</v>
      </c>
      <c r="W292" s="8">
        <f>SUM(X292:AP292)</f>
        <v>0</v>
      </c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</row>
    <row r="293" spans="1:44" ht="12.75">
      <c r="A293">
        <v>276</v>
      </c>
      <c r="B293" s="20"/>
      <c r="E293" s="8">
        <f>SUM(F293:W293)</f>
        <v>0</v>
      </c>
      <c r="W293" s="8">
        <f>SUM(X293:AP293)</f>
        <v>0</v>
      </c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</row>
    <row r="294" spans="1:44" ht="12.75">
      <c r="A294">
        <v>277</v>
      </c>
      <c r="B294" s="20"/>
      <c r="E294" s="8">
        <f>SUM(F294:W294)</f>
        <v>0</v>
      </c>
      <c r="W294" s="8">
        <f>SUM(X294:AP294)</f>
        <v>0</v>
      </c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</row>
    <row r="295" spans="1:44" ht="12.75">
      <c r="A295">
        <v>278</v>
      </c>
      <c r="B295" s="20"/>
      <c r="E295" s="8">
        <f>SUM(F295:W295)</f>
        <v>0</v>
      </c>
      <c r="W295" s="8">
        <f>SUM(X295:AP295)</f>
        <v>0</v>
      </c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</row>
    <row r="296" spans="1:44" ht="12.75">
      <c r="A296">
        <v>279</v>
      </c>
      <c r="B296" s="20"/>
      <c r="E296" s="8">
        <f>SUM(F296:W296)</f>
        <v>0</v>
      </c>
      <c r="W296" s="8">
        <f>SUM(X296:AP296)</f>
        <v>0</v>
      </c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</row>
    <row r="297" spans="1:44" ht="12.75">
      <c r="A297">
        <v>280</v>
      </c>
      <c r="B297" s="20"/>
      <c r="E297" s="8">
        <f>SUM(F297:W297)</f>
        <v>0</v>
      </c>
      <c r="W297" s="8">
        <f>SUM(X297:AP297)</f>
        <v>0</v>
      </c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</row>
    <row r="298" spans="1:44" ht="12.75">
      <c r="A298">
        <v>281</v>
      </c>
      <c r="B298" s="20"/>
      <c r="E298" s="8">
        <f>SUM(F298:W298)</f>
        <v>0</v>
      </c>
      <c r="W298" s="8">
        <f>SUM(X298:AP298)</f>
        <v>0</v>
      </c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</row>
    <row r="299" spans="1:44" ht="12.75">
      <c r="A299">
        <v>282</v>
      </c>
      <c r="B299" s="20"/>
      <c r="E299" s="8">
        <f>SUM(F299:W299)</f>
        <v>0</v>
      </c>
      <c r="W299" s="8">
        <f>SUM(X299:AP299)</f>
        <v>0</v>
      </c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</row>
    <row r="300" spans="1:44" ht="12.75">
      <c r="A300">
        <v>283</v>
      </c>
      <c r="B300" s="20"/>
      <c r="E300" s="8">
        <f>SUM(F300:W300)</f>
        <v>0</v>
      </c>
      <c r="W300" s="8">
        <f>SUM(X300:AP300)</f>
        <v>0</v>
      </c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</row>
    <row r="301" spans="1:44" ht="12.75">
      <c r="A301">
        <v>284</v>
      </c>
      <c r="B301" s="20"/>
      <c r="E301" s="8">
        <f>SUM(F301:W301)</f>
        <v>0</v>
      </c>
      <c r="W301" s="8">
        <f>SUM(X301:AP301)</f>
        <v>0</v>
      </c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</row>
    <row r="302" spans="1:44" ht="12.75">
      <c r="A302">
        <v>285</v>
      </c>
      <c r="B302" s="20"/>
      <c r="E302" s="8">
        <f>SUM(F302:W302)</f>
        <v>0</v>
      </c>
      <c r="W302" s="8">
        <f>SUM(X302:AP302)</f>
        <v>0</v>
      </c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</row>
    <row r="303" spans="1:44" ht="12.75">
      <c r="A303">
        <v>286</v>
      </c>
      <c r="B303" s="20"/>
      <c r="E303" s="8">
        <f>SUM(F303:W303)</f>
        <v>0</v>
      </c>
      <c r="W303" s="8">
        <f>SUM(X303:AP303)</f>
        <v>0</v>
      </c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</row>
    <row r="304" spans="1:44" ht="12.75">
      <c r="A304">
        <v>287</v>
      </c>
      <c r="B304" s="20"/>
      <c r="E304" s="8">
        <f>SUM(F304:W304)</f>
        <v>0</v>
      </c>
      <c r="W304" s="8">
        <f>SUM(X304:AP304)</f>
        <v>0</v>
      </c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</row>
    <row r="305" spans="1:44" ht="12.75">
      <c r="A305">
        <v>288</v>
      </c>
      <c r="B305" s="20"/>
      <c r="E305" s="8">
        <f>SUM(F305:W305)</f>
        <v>0</v>
      </c>
      <c r="W305" s="8">
        <f>SUM(X305:AO305)</f>
        <v>0</v>
      </c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</row>
    <row r="306" spans="1:44" ht="12.75">
      <c r="A306">
        <v>289</v>
      </c>
      <c r="B306" s="20"/>
      <c r="E306" s="8">
        <f>SUM(F306:W306)</f>
        <v>0</v>
      </c>
      <c r="W306" s="8">
        <f>SUM(X306:AO306)</f>
        <v>0</v>
      </c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</row>
    <row r="307" spans="1:44" ht="12.75">
      <c r="A307">
        <v>290</v>
      </c>
      <c r="B307" s="20"/>
      <c r="D307" s="22"/>
      <c r="E307" s="8">
        <f>SUM(F307:W307)</f>
        <v>0</v>
      </c>
      <c r="W307" s="8">
        <f>SUM(X307:AO307)</f>
        <v>0</v>
      </c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</row>
    <row r="308" spans="1:44" ht="12.75">
      <c r="A308">
        <v>291</v>
      </c>
      <c r="B308" s="20"/>
      <c r="E308" s="8">
        <f>SUM(F308:W308)</f>
        <v>0</v>
      </c>
      <c r="W308" s="8">
        <f>SUM(X308:AO308)</f>
        <v>0</v>
      </c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</row>
    <row r="309" spans="1:44" ht="12.75">
      <c r="A309">
        <v>292</v>
      </c>
      <c r="B309" s="20"/>
      <c r="E309" s="8">
        <f>SUM(F309:W309)</f>
        <v>0</v>
      </c>
      <c r="W309" s="8">
        <f>SUM(X309:AO309)</f>
        <v>0</v>
      </c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</row>
    <row r="310" spans="1:44" ht="12.75">
      <c r="A310">
        <v>293</v>
      </c>
      <c r="B310" s="20"/>
      <c r="E310" s="8">
        <f>SUM(F310:W310)</f>
        <v>0</v>
      </c>
      <c r="W310" s="8">
        <f>SUM(X310:AO310)</f>
        <v>0</v>
      </c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</row>
    <row r="311" spans="1:44" ht="12.75">
      <c r="A311">
        <v>294</v>
      </c>
      <c r="B311" s="20"/>
      <c r="E311" s="8">
        <f>SUM(F311:W311)</f>
        <v>0</v>
      </c>
      <c r="W311" s="8">
        <f>SUM(X311:AO311)</f>
        <v>0</v>
      </c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</row>
    <row r="312" spans="1:44" ht="12.75">
      <c r="A312">
        <v>295</v>
      </c>
      <c r="B312" s="20"/>
      <c r="E312" s="8">
        <f>SUM(F312:W312)</f>
        <v>0</v>
      </c>
      <c r="W312" s="8">
        <f>SUM(X312:AO312)</f>
        <v>0</v>
      </c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</row>
    <row r="313" spans="1:44" ht="12.75">
      <c r="A313">
        <v>296</v>
      </c>
      <c r="B313" s="20"/>
      <c r="E313" s="8">
        <f>SUM(F313:W313)</f>
        <v>0</v>
      </c>
      <c r="W313" s="8">
        <f>SUM(X313:AO313)</f>
        <v>0</v>
      </c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</row>
    <row r="314" spans="1:44" ht="12.75">
      <c r="A314">
        <v>297</v>
      </c>
      <c r="B314" s="20"/>
      <c r="E314" s="8">
        <f>SUM(F314:W314)</f>
        <v>0</v>
      </c>
      <c r="W314" s="8">
        <f>SUM(X314:AO314)</f>
        <v>0</v>
      </c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</row>
    <row r="315" spans="1:44" ht="12.75">
      <c r="A315">
        <v>298</v>
      </c>
      <c r="B315" s="20"/>
      <c r="E315" s="8">
        <f>SUM(F315:W315)</f>
        <v>0</v>
      </c>
      <c r="W315" s="8">
        <f>SUM(X315:AO315)</f>
        <v>0</v>
      </c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</row>
    <row r="316" spans="1:44" ht="12.75">
      <c r="A316">
        <v>299</v>
      </c>
      <c r="B316" s="20"/>
      <c r="E316" s="8">
        <f>SUM(F316:W316)</f>
        <v>0</v>
      </c>
      <c r="W316" s="8">
        <f>SUM(X316:AO316)</f>
        <v>0</v>
      </c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</row>
    <row r="317" spans="1:44" ht="12.75">
      <c r="A317">
        <v>300</v>
      </c>
      <c r="B317" s="20"/>
      <c r="E317" s="8">
        <f>SUM(F317:W317)</f>
        <v>0</v>
      </c>
      <c r="W317" s="8">
        <f>SUM(X317:AO317)</f>
        <v>0</v>
      </c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</row>
    <row r="318" spans="1:44" ht="12.75">
      <c r="A318">
        <v>301</v>
      </c>
      <c r="B318" s="20"/>
      <c r="E318" s="8">
        <f>SUM(F318:W318)</f>
        <v>0</v>
      </c>
      <c r="W318" s="8">
        <f>SUM(X318:AO318)</f>
        <v>0</v>
      </c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</row>
    <row r="319" spans="1:44" ht="12.75">
      <c r="A319">
        <v>302</v>
      </c>
      <c r="B319" s="20"/>
      <c r="E319" s="8">
        <f>SUM(F319:W319)</f>
        <v>0</v>
      </c>
      <c r="W319" s="8">
        <f>SUM(X319:AO319)</f>
        <v>0</v>
      </c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</row>
    <row r="320" spans="1:44" ht="12.75">
      <c r="A320">
        <v>303</v>
      </c>
      <c r="B320" s="20"/>
      <c r="E320" s="8">
        <f>SUM(F320:W320)</f>
        <v>0</v>
      </c>
      <c r="W320" s="8">
        <f>SUM(X320:AO320)</f>
        <v>0</v>
      </c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</row>
    <row r="321" spans="1:44" ht="12.75">
      <c r="A321">
        <v>304</v>
      </c>
      <c r="B321" s="20"/>
      <c r="E321" s="8">
        <f>SUM(F321:W321)</f>
        <v>0</v>
      </c>
      <c r="W321" s="8">
        <f>SUM(X321:AO321)</f>
        <v>0</v>
      </c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</row>
    <row r="322" spans="1:44" ht="12.75">
      <c r="A322">
        <v>305</v>
      </c>
      <c r="B322" s="20"/>
      <c r="E322" s="8">
        <f>SUM(F322:W322)</f>
        <v>0</v>
      </c>
      <c r="W322" s="8">
        <f>SUM(X322:AO322)</f>
        <v>0</v>
      </c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</row>
    <row r="323" spans="1:44" ht="12.75">
      <c r="A323">
        <v>306</v>
      </c>
      <c r="B323" s="20"/>
      <c r="E323" s="8">
        <f>SUM(F323:W323)</f>
        <v>0</v>
      </c>
      <c r="W323" s="8">
        <f>SUM(X323:AO323)</f>
        <v>0</v>
      </c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</row>
    <row r="324" spans="1:44" ht="12.75">
      <c r="A324">
        <v>307</v>
      </c>
      <c r="B324" s="20"/>
      <c r="E324" s="8">
        <f>SUM(F324:W324)</f>
        <v>0</v>
      </c>
      <c r="W324" s="8">
        <f>SUM(X324:AO324)</f>
        <v>0</v>
      </c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</row>
    <row r="325" spans="1:44" ht="12.75">
      <c r="A325">
        <v>308</v>
      </c>
      <c r="B325" s="20"/>
      <c r="E325" s="8">
        <f>SUM(F325:W325)</f>
        <v>0</v>
      </c>
      <c r="W325" s="8">
        <f>SUM(X325:AO325)</f>
        <v>0</v>
      </c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</row>
    <row r="326" spans="1:44" ht="12.75">
      <c r="A326">
        <v>309</v>
      </c>
      <c r="B326" s="20"/>
      <c r="E326" s="8">
        <f>SUM(F326:W326)</f>
        <v>0</v>
      </c>
      <c r="W326" s="8">
        <f>SUM(X326:AO326)</f>
        <v>0</v>
      </c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</row>
    <row r="327" spans="1:44" ht="12.75">
      <c r="A327">
        <v>310</v>
      </c>
      <c r="B327" s="20"/>
      <c r="E327" s="8">
        <f>SUM(F327:W327)</f>
        <v>0</v>
      </c>
      <c r="W327" s="8">
        <f>SUM(X327:AO327)</f>
        <v>0</v>
      </c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</row>
    <row r="328" spans="1:44" ht="12.75">
      <c r="A328">
        <v>311</v>
      </c>
      <c r="B328" s="20"/>
      <c r="E328" s="8">
        <f>SUM(F328:W328)</f>
        <v>0</v>
      </c>
      <c r="W328" s="8">
        <f>SUM(X328:AO328)</f>
        <v>0</v>
      </c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</row>
    <row r="329" spans="1:44" ht="12.75">
      <c r="A329">
        <v>312</v>
      </c>
      <c r="B329" s="20"/>
      <c r="E329" s="8">
        <f>SUM(F329:W329)</f>
        <v>0</v>
      </c>
      <c r="W329" s="8">
        <f>SUM(X329:AO329)</f>
        <v>0</v>
      </c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</row>
    <row r="330" spans="1:44" ht="12.75">
      <c r="A330">
        <v>313</v>
      </c>
      <c r="B330" s="20"/>
      <c r="E330" s="8">
        <f>SUM(F330:W330)</f>
        <v>0</v>
      </c>
      <c r="W330" s="8">
        <f>SUM(X330:AO330)</f>
        <v>0</v>
      </c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</row>
    <row r="331" spans="1:44" ht="12.75">
      <c r="A331">
        <v>314</v>
      </c>
      <c r="B331" s="20"/>
      <c r="E331" s="8">
        <f>SUM(F331:W331)</f>
        <v>0</v>
      </c>
      <c r="W331" s="8">
        <f>SUM(X331:AO331)</f>
        <v>0</v>
      </c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</row>
    <row r="332" spans="1:44" ht="12.75">
      <c r="A332">
        <v>315</v>
      </c>
      <c r="B332" s="20"/>
      <c r="E332" s="8">
        <f>SUM(F332:W332)</f>
        <v>0</v>
      </c>
      <c r="W332" s="8">
        <f>SUM(X332:AO332)</f>
        <v>0</v>
      </c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</row>
    <row r="333" spans="1:44" ht="12.75">
      <c r="A333">
        <v>316</v>
      </c>
      <c r="B333" s="20"/>
      <c r="E333" s="8">
        <f>SUM(F333:W333)</f>
        <v>0</v>
      </c>
      <c r="W333" s="8">
        <f>SUM(X333:AO333)</f>
        <v>0</v>
      </c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</row>
    <row r="334" spans="1:44" ht="12.75">
      <c r="A334">
        <v>317</v>
      </c>
      <c r="B334" s="20"/>
      <c r="E334" s="8">
        <f>SUM(F334:W334)</f>
        <v>0</v>
      </c>
      <c r="W334" s="8">
        <f>SUM(X334:AO334)</f>
        <v>0</v>
      </c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</row>
    <row r="335" spans="1:44" ht="12.75">
      <c r="A335">
        <v>318</v>
      </c>
      <c r="B335" s="20"/>
      <c r="E335" s="8">
        <f>SUM(F335:W335)</f>
        <v>0</v>
      </c>
      <c r="W335" s="8">
        <f>SUM(X335:AO335)</f>
        <v>0</v>
      </c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</row>
    <row r="336" spans="1:44" ht="12.75">
      <c r="A336">
        <v>319</v>
      </c>
      <c r="B336" s="20"/>
      <c r="E336" s="8">
        <f>SUM(F336:W336)</f>
        <v>0</v>
      </c>
      <c r="W336" s="8">
        <f>SUM(X336:AO336)</f>
        <v>0</v>
      </c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</row>
    <row r="337" spans="1:44" ht="12.75">
      <c r="A337">
        <v>320</v>
      </c>
      <c r="B337" s="20"/>
      <c r="E337" s="8">
        <f>SUM(F337:W337)</f>
        <v>0</v>
      </c>
      <c r="W337" s="8">
        <f>SUM(X337:AO337)</f>
        <v>0</v>
      </c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</row>
    <row r="338" spans="1:45" ht="12.75">
      <c r="A338">
        <v>321</v>
      </c>
      <c r="B338" s="20"/>
      <c r="E338" s="8">
        <f>SUM(F338:W338)</f>
        <v>0</v>
      </c>
      <c r="W338" s="8">
        <f>SUM(X338:AO338)</f>
        <v>0</v>
      </c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</row>
    <row r="339" spans="1:45" ht="12.75">
      <c r="A339">
        <v>322</v>
      </c>
      <c r="B339" s="20"/>
      <c r="E339" s="8">
        <f>SUM(F339:W339)</f>
        <v>0</v>
      </c>
      <c r="W339" s="8">
        <f>SUM(X339:AO339)</f>
        <v>0</v>
      </c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</row>
    <row r="340" spans="1:44" ht="12.75">
      <c r="A340">
        <v>323</v>
      </c>
      <c r="B340" s="20"/>
      <c r="E340" s="8">
        <f>SUM(F340:W340)</f>
        <v>0</v>
      </c>
      <c r="W340" s="8">
        <f>SUM(X340:AO340)</f>
        <v>0</v>
      </c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</row>
    <row r="341" spans="1:44" ht="12.75">
      <c r="A341">
        <v>324</v>
      </c>
      <c r="B341" s="20"/>
      <c r="E341" s="8">
        <f>SUM(F341:W341)</f>
        <v>0</v>
      </c>
      <c r="W341" s="8">
        <f>SUM(X341:AO341)</f>
        <v>0</v>
      </c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</row>
    <row r="342" spans="1:44" ht="12.75">
      <c r="A342">
        <v>325</v>
      </c>
      <c r="B342" s="20"/>
      <c r="E342" s="8">
        <f>SUM(F342:W342)</f>
        <v>0</v>
      </c>
      <c r="W342" s="8">
        <f>SUM(X342:AO342)</f>
        <v>0</v>
      </c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</row>
    <row r="343" spans="1:44" ht="12.75">
      <c r="A343">
        <v>326</v>
      </c>
      <c r="B343" s="20"/>
      <c r="E343" s="8">
        <f>SUM(F343:W343)</f>
        <v>0</v>
      </c>
      <c r="W343" s="8">
        <f>SUM(X343:AO343)</f>
        <v>0</v>
      </c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</row>
    <row r="344" spans="1:44" ht="12.75">
      <c r="A344">
        <v>327</v>
      </c>
      <c r="B344" s="20"/>
      <c r="E344" s="8">
        <f>SUM(F344:W344)</f>
        <v>0</v>
      </c>
      <c r="W344" s="8">
        <f>SUM(X344:AO344)</f>
        <v>0</v>
      </c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</row>
    <row r="345" spans="1:44" ht="12.75">
      <c r="A345">
        <v>328</v>
      </c>
      <c r="B345" s="20"/>
      <c r="E345" s="8">
        <f>SUM(F345:W345)</f>
        <v>0</v>
      </c>
      <c r="W345" s="8">
        <f>SUM(X345:AO345)</f>
        <v>0</v>
      </c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</row>
    <row r="346" spans="1:44" ht="12.75">
      <c r="A346">
        <v>329</v>
      </c>
      <c r="B346" s="20"/>
      <c r="E346" s="8">
        <f>SUM(F346:W346)</f>
        <v>0</v>
      </c>
      <c r="W346" s="8">
        <f>SUM(X346:AO346)</f>
        <v>0</v>
      </c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</row>
    <row r="347" spans="1:44" ht="12.75">
      <c r="A347">
        <v>330</v>
      </c>
      <c r="B347" s="20"/>
      <c r="D347" s="20"/>
      <c r="E347" s="8">
        <f>SUM(F347:W347)</f>
        <v>0</v>
      </c>
      <c r="W347" s="8">
        <f>SUM(X347:AO347)</f>
        <v>0</v>
      </c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</row>
    <row r="348" spans="1:44" ht="12.75">
      <c r="A348">
        <v>331</v>
      </c>
      <c r="B348" s="20"/>
      <c r="D348" s="20"/>
      <c r="E348" s="8">
        <f>SUM(F348:W348)</f>
        <v>0</v>
      </c>
      <c r="W348" s="8">
        <f>SUM(X348:AO348)</f>
        <v>0</v>
      </c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</row>
    <row r="349" spans="1:44" ht="12.75">
      <c r="A349">
        <v>332</v>
      </c>
      <c r="B349" s="20"/>
      <c r="D349" s="20"/>
      <c r="E349" s="8">
        <f>SUM(F349:W349)</f>
        <v>0</v>
      </c>
      <c r="W349" s="8">
        <f>SUM(X349:AO349)</f>
        <v>0</v>
      </c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</row>
    <row r="350" spans="1:44" ht="12.75">
      <c r="A350">
        <v>333</v>
      </c>
      <c r="B350" s="20"/>
      <c r="D350" s="20"/>
      <c r="E350" s="8">
        <f>SUM(F350:W350)</f>
        <v>0</v>
      </c>
      <c r="W350" s="8">
        <f>SUM(X350:AO350)</f>
        <v>0</v>
      </c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</row>
    <row r="351" spans="1:44" ht="12.75">
      <c r="A351">
        <v>334</v>
      </c>
      <c r="B351" s="20"/>
      <c r="D351" s="20"/>
      <c r="E351" s="8">
        <f>SUM(F351:W351)</f>
        <v>0</v>
      </c>
      <c r="W351" s="8">
        <f>SUM(X351:AO351)</f>
        <v>0</v>
      </c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</row>
    <row r="352" spans="1:44" ht="12.75">
      <c r="A352">
        <v>335</v>
      </c>
      <c r="B352" s="20"/>
      <c r="D352" s="20"/>
      <c r="E352" s="8">
        <f>SUM(F352:W352)</f>
        <v>0</v>
      </c>
      <c r="W352" s="8">
        <f>SUM(X352:AO352)</f>
        <v>0</v>
      </c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</row>
    <row r="353" spans="1:44" ht="12.75">
      <c r="A353">
        <v>336</v>
      </c>
      <c r="B353" s="20"/>
      <c r="D353" s="20"/>
      <c r="E353" s="8">
        <f>SUM(F353:W353)</f>
        <v>0</v>
      </c>
      <c r="W353" s="8">
        <f>SUM(X353:AO353)</f>
        <v>0</v>
      </c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</row>
    <row r="354" spans="1:44" ht="12.75">
      <c r="A354">
        <v>337</v>
      </c>
      <c r="B354" s="20"/>
      <c r="D354" s="20"/>
      <c r="E354" s="8">
        <f>SUM(F354:W354)</f>
        <v>0</v>
      </c>
      <c r="W354" s="8">
        <f>SUM(X354:AO354)</f>
        <v>0</v>
      </c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</row>
    <row r="355" spans="1:44" ht="12.75">
      <c r="A355">
        <v>338</v>
      </c>
      <c r="B355" s="20"/>
      <c r="D355" s="20"/>
      <c r="E355" s="8">
        <f>SUM(F355:W355)</f>
        <v>0</v>
      </c>
      <c r="W355" s="8">
        <f>SUM(X355:AO355)</f>
        <v>0</v>
      </c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</row>
    <row r="356" spans="1:44" ht="12.75">
      <c r="A356">
        <v>339</v>
      </c>
      <c r="B356" s="20"/>
      <c r="D356" s="20"/>
      <c r="E356" s="8">
        <f>SUM(F356:W356)</f>
        <v>0</v>
      </c>
      <c r="W356" s="8">
        <f>SUM(X356:AO356)</f>
        <v>0</v>
      </c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</row>
    <row r="357" spans="1:44" ht="12.75">
      <c r="A357">
        <v>340</v>
      </c>
      <c r="B357" s="20"/>
      <c r="D357" s="20"/>
      <c r="E357" s="8">
        <f>SUM(F357:W357)</f>
        <v>0</v>
      </c>
      <c r="W357" s="8">
        <f>SUM(X357:AO357)</f>
        <v>0</v>
      </c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</row>
    <row r="358" spans="1:44" ht="12.75">
      <c r="A358">
        <v>341</v>
      </c>
      <c r="B358" s="20"/>
      <c r="D358" s="20"/>
      <c r="E358" s="8">
        <f>SUM(F358:W358)</f>
        <v>0</v>
      </c>
      <c r="W358" s="8">
        <f>SUM(X358:AO358)</f>
        <v>0</v>
      </c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</row>
    <row r="359" spans="1:44" ht="12.75">
      <c r="A359">
        <v>342</v>
      </c>
      <c r="B359" s="20"/>
      <c r="D359" s="20"/>
      <c r="E359" s="8">
        <f>SUM(F359:W359)</f>
        <v>0</v>
      </c>
      <c r="W359" s="8">
        <f>SUM(X359:AO359)</f>
        <v>0</v>
      </c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</row>
    <row r="360" spans="1:44" ht="12.75">
      <c r="A360">
        <v>233</v>
      </c>
      <c r="B360" s="20"/>
      <c r="D360" s="20"/>
      <c r="E360" s="8">
        <f>SUM(F360:W360)</f>
        <v>0</v>
      </c>
      <c r="W360" s="8">
        <f>SUM(X360:AO360)</f>
        <v>0</v>
      </c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</row>
    <row r="361" spans="1:44" ht="12.75">
      <c r="A361">
        <v>234</v>
      </c>
      <c r="B361" s="20"/>
      <c r="D361" s="20"/>
      <c r="E361" s="8">
        <f>SUM(F361:W361)</f>
        <v>0</v>
      </c>
      <c r="W361" s="8">
        <f>SUM(X361:AO361)</f>
        <v>0</v>
      </c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</row>
    <row r="362" spans="1:44" ht="12.75">
      <c r="A362">
        <v>235</v>
      </c>
      <c r="B362" s="20"/>
      <c r="D362" s="20"/>
      <c r="E362" s="8">
        <f>SUM(F362:W362)</f>
        <v>0</v>
      </c>
      <c r="W362" s="8">
        <f>SUM(X362:AO362)</f>
        <v>0</v>
      </c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</row>
    <row r="363" spans="1:44" ht="12.75">
      <c r="A363">
        <v>236</v>
      </c>
      <c r="B363" s="20"/>
      <c r="D363" s="20"/>
      <c r="E363" s="8">
        <f>SUM(F363:W363)</f>
        <v>0</v>
      </c>
      <c r="W363" s="8">
        <f>SUM(X363:AO363)</f>
        <v>0</v>
      </c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</row>
    <row r="364" spans="1:44" ht="12.75">
      <c r="A364">
        <v>237</v>
      </c>
      <c r="B364" s="20"/>
      <c r="D364" s="20"/>
      <c r="E364" s="8">
        <f>SUM(F364:W364)</f>
        <v>0</v>
      </c>
      <c r="W364" s="8">
        <f>SUM(X364:AO364)</f>
        <v>0</v>
      </c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</row>
    <row r="365" spans="1:44" ht="12.75">
      <c r="A365">
        <v>238</v>
      </c>
      <c r="B365" s="20"/>
      <c r="D365" s="20"/>
      <c r="E365" s="8">
        <f>SUM(F365:W365)</f>
        <v>0</v>
      </c>
      <c r="W365" s="8">
        <f>SUM(X365:AO365)</f>
        <v>0</v>
      </c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</row>
    <row r="366" spans="1:44" ht="12.75">
      <c r="A366">
        <v>239</v>
      </c>
      <c r="B366" s="20"/>
      <c r="D366" s="20"/>
      <c r="E366" s="8">
        <f>SUM(F366:W366)</f>
        <v>0</v>
      </c>
      <c r="W366" s="8">
        <f>SUM(X366:AO366)</f>
        <v>0</v>
      </c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</row>
    <row r="367" spans="1:44" ht="12.75">
      <c r="A367">
        <v>240</v>
      </c>
      <c r="B367" s="20"/>
      <c r="D367" s="20"/>
      <c r="E367" s="8">
        <f>SUM(F367:W367)</f>
        <v>0</v>
      </c>
      <c r="W367" s="8">
        <f>SUM(X367:AO367)</f>
        <v>0</v>
      </c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</row>
    <row r="368" spans="1:44" ht="12.75">
      <c r="A368">
        <v>241</v>
      </c>
      <c r="B368" s="20"/>
      <c r="D368" s="20"/>
      <c r="E368" s="8">
        <f>SUM(F368:W368)</f>
        <v>0</v>
      </c>
      <c r="W368" s="8">
        <f>SUM(X368:AO368)</f>
        <v>0</v>
      </c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</row>
    <row r="369" spans="1:43" ht="12.75">
      <c r="A369">
        <v>242</v>
      </c>
      <c r="B369" s="20"/>
      <c r="D369" s="20"/>
      <c r="E369" s="8">
        <f>SUM(F369:W369)</f>
        <v>0</v>
      </c>
      <c r="W369" s="8">
        <f>SUM(X369:AO369)</f>
        <v>0</v>
      </c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</row>
    <row r="370" spans="1:42" ht="12.75">
      <c r="A370">
        <v>243</v>
      </c>
      <c r="B370" s="20"/>
      <c r="D370" s="20"/>
      <c r="E370" s="8">
        <f>SUM(F370:W370)</f>
        <v>0</v>
      </c>
      <c r="W370" s="8">
        <f>SUM(X370:AO370)</f>
        <v>0</v>
      </c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23"/>
    </row>
    <row r="371" spans="1:42" ht="12.75">
      <c r="A371">
        <v>244</v>
      </c>
      <c r="B371" s="20"/>
      <c r="D371" s="20"/>
      <c r="E371" s="8">
        <f>SUM(F371:W371)</f>
        <v>0</v>
      </c>
      <c r="W371" s="8">
        <f>SUM(X371:AO371)</f>
        <v>0</v>
      </c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</row>
    <row r="372" spans="1:42" ht="12.75">
      <c r="A372">
        <v>245</v>
      </c>
      <c r="B372" s="20"/>
      <c r="D372" s="20"/>
      <c r="E372" s="8">
        <f>SUM(F372:W372)</f>
        <v>0</v>
      </c>
      <c r="W372" s="8">
        <f>SUM(X372:AO372)</f>
        <v>0</v>
      </c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</row>
    <row r="373" spans="1:42" ht="12.75">
      <c r="A373">
        <v>246</v>
      </c>
      <c r="B373" s="20"/>
      <c r="D373" s="20"/>
      <c r="E373" s="8">
        <f>SUM(F373:W373)</f>
        <v>0</v>
      </c>
      <c r="W373" s="8">
        <f>SUM(X373:AO373)</f>
        <v>0</v>
      </c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</row>
    <row r="374" spans="1:42" ht="12.75">
      <c r="A374">
        <v>247</v>
      </c>
      <c r="B374" s="20"/>
      <c r="D374" s="20"/>
      <c r="E374" s="8">
        <f>SUM(F374:W374)</f>
        <v>0</v>
      </c>
      <c r="W374" s="8">
        <f>SUM(X374:AO374)</f>
        <v>0</v>
      </c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</row>
    <row r="375" spans="1:42" ht="12.75">
      <c r="A375">
        <v>248</v>
      </c>
      <c r="B375" s="20"/>
      <c r="D375" s="20"/>
      <c r="E375" s="8">
        <f>SUM(F375:W375)</f>
        <v>0</v>
      </c>
      <c r="W375" s="8">
        <f>SUM(X375:AO375)</f>
        <v>0</v>
      </c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</row>
    <row r="376" spans="1:42" ht="12.75">
      <c r="A376">
        <v>249</v>
      </c>
      <c r="B376" s="20"/>
      <c r="D376" s="20"/>
      <c r="E376" s="8">
        <f>SUM(F376:W376)</f>
        <v>0</v>
      </c>
      <c r="W376" s="8">
        <f>SUM(X376:AO376)</f>
        <v>0</v>
      </c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</row>
    <row r="377" spans="1:42" ht="12.75">
      <c r="A377">
        <v>250</v>
      </c>
      <c r="B377" s="20"/>
      <c r="D377" s="20"/>
      <c r="E377" s="8">
        <f>SUM(F377:W377)</f>
        <v>0</v>
      </c>
      <c r="W377" s="8">
        <f>SUM(X377:AO377)</f>
        <v>0</v>
      </c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</row>
    <row r="378" spans="1:42" ht="12.75">
      <c r="A378">
        <v>251</v>
      </c>
      <c r="B378" s="20"/>
      <c r="D378" s="20"/>
      <c r="E378" s="8">
        <f>SUM(F378:W378)</f>
        <v>0</v>
      </c>
      <c r="W378" s="8">
        <f>SUM(X378:AO378)</f>
        <v>0</v>
      </c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</row>
    <row r="379" spans="1:42" ht="12.75">
      <c r="A379">
        <v>252</v>
      </c>
      <c r="B379" s="20"/>
      <c r="D379" s="20"/>
      <c r="E379" s="8">
        <f>SUM(F379:W379)</f>
        <v>0</v>
      </c>
      <c r="W379" s="8">
        <f>SUM(X379:AO379)</f>
        <v>0</v>
      </c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</row>
    <row r="380" spans="1:42" ht="12.75">
      <c r="A380">
        <v>253</v>
      </c>
      <c r="B380" s="20"/>
      <c r="D380" s="20"/>
      <c r="E380" s="8">
        <f>SUM(F380:W380)</f>
        <v>0</v>
      </c>
      <c r="W380" s="8">
        <f>SUM(X380:AO380)</f>
        <v>0</v>
      </c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</row>
    <row r="381" spans="1:42" ht="12.75">
      <c r="A381">
        <v>254</v>
      </c>
      <c r="B381" s="20"/>
      <c r="D381" s="20"/>
      <c r="E381" s="8">
        <f>SUM(F381:W381)</f>
        <v>0</v>
      </c>
      <c r="W381" s="8">
        <f>SUM(X381:AO381)</f>
        <v>0</v>
      </c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</row>
    <row r="382" spans="1:42" ht="12.75">
      <c r="A382">
        <v>255</v>
      </c>
      <c r="B382" s="20"/>
      <c r="D382" s="20"/>
      <c r="E382" s="8">
        <f>SUM(F382:W382)</f>
        <v>0</v>
      </c>
      <c r="W382" s="8">
        <f>SUM(X382:AO382)</f>
        <v>0</v>
      </c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</row>
    <row r="383" spans="1:42" ht="12.75">
      <c r="A383">
        <v>256</v>
      </c>
      <c r="B383" s="20"/>
      <c r="D383" s="20"/>
      <c r="E383" s="8">
        <f>SUM(F383:W383)</f>
        <v>0</v>
      </c>
      <c r="W383" s="8">
        <f>SUM(X383:AO383)</f>
        <v>0</v>
      </c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</row>
    <row r="384" spans="1:42" ht="12.75">
      <c r="A384">
        <v>257</v>
      </c>
      <c r="B384" s="20"/>
      <c r="D384" s="20"/>
      <c r="E384" s="8">
        <f>SUM(F384:W384)</f>
        <v>0</v>
      </c>
      <c r="W384" s="8">
        <f>SUM(X384:AO384)</f>
        <v>0</v>
      </c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</row>
    <row r="385" spans="1:42" ht="12.75">
      <c r="A385">
        <v>258</v>
      </c>
      <c r="B385" s="20"/>
      <c r="D385" s="20"/>
      <c r="E385" s="8">
        <f>SUM(F385:W385)</f>
        <v>0</v>
      </c>
      <c r="W385" s="8">
        <f>SUM(X385:AO385)</f>
        <v>0</v>
      </c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</row>
    <row r="386" spans="1:42" ht="12.75">
      <c r="A386">
        <v>259</v>
      </c>
      <c r="B386" s="20"/>
      <c r="D386" s="20"/>
      <c r="E386" s="8">
        <f>SUM(F386:W386)</f>
        <v>0</v>
      </c>
      <c r="W386" s="8">
        <f>SUM(X386:AO386)</f>
        <v>0</v>
      </c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</row>
    <row r="387" spans="1:42" ht="12.75">
      <c r="A387" s="21">
        <v>260</v>
      </c>
      <c r="B387" s="20"/>
      <c r="D387" s="20"/>
      <c r="E387" s="8">
        <f>SUM(F387:W387)</f>
        <v>0</v>
      </c>
      <c r="W387" s="8">
        <f>SUM(X387:AO387)</f>
        <v>0</v>
      </c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</row>
    <row r="388" spans="1:42" ht="12.75">
      <c r="A388">
        <v>261</v>
      </c>
      <c r="B388" s="20"/>
      <c r="D388" s="20"/>
      <c r="E388" s="8">
        <f>SUM(F388:W388)</f>
        <v>0</v>
      </c>
      <c r="W388" s="8">
        <f>SUM(X388:AO388)</f>
        <v>0</v>
      </c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</row>
    <row r="389" spans="1:42" ht="12.75">
      <c r="A389">
        <v>262</v>
      </c>
      <c r="B389" s="20"/>
      <c r="D389" s="20"/>
      <c r="E389" s="8">
        <f>SUM(F389:W389)</f>
        <v>0</v>
      </c>
      <c r="W389" s="8">
        <f>SUM(X389:AO389)</f>
        <v>0</v>
      </c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</row>
    <row r="390" spans="1:42" ht="12.75">
      <c r="A390">
        <v>262</v>
      </c>
      <c r="B390" s="20"/>
      <c r="D390" s="20"/>
      <c r="E390" s="8">
        <f>SUM(F390:W390)</f>
        <v>0</v>
      </c>
      <c r="W390" s="8">
        <f>SUM(X390:AO390)</f>
        <v>0</v>
      </c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</row>
    <row r="391" spans="1:42" ht="12.75">
      <c r="A391">
        <v>263</v>
      </c>
      <c r="B391" s="20"/>
      <c r="D391" s="20"/>
      <c r="E391" s="8">
        <f>SUM(F391:W391)</f>
        <v>0</v>
      </c>
      <c r="W391" s="8">
        <f>SUM(X391:AO391)</f>
        <v>0</v>
      </c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</row>
    <row r="392" spans="1:42" ht="12.75">
      <c r="A392">
        <v>264</v>
      </c>
      <c r="B392" s="20"/>
      <c r="D392" s="20"/>
      <c r="E392" s="8">
        <f>SUM(F392:W392)</f>
        <v>0</v>
      </c>
      <c r="W392" s="8">
        <f>SUM(X392:AO392)</f>
        <v>0</v>
      </c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</row>
    <row r="393" spans="1:42" ht="12.75">
      <c r="A393">
        <v>265</v>
      </c>
      <c r="B393" s="20"/>
      <c r="D393" s="20"/>
      <c r="E393" s="8">
        <f>SUM(F393:W393)</f>
        <v>0</v>
      </c>
      <c r="W393" s="8">
        <f>SUM(X393:AO393)</f>
        <v>0</v>
      </c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</row>
    <row r="394" spans="1:42" ht="12.75">
      <c r="A394">
        <v>266</v>
      </c>
      <c r="B394" s="20"/>
      <c r="D394" s="20"/>
      <c r="E394" s="8">
        <f>SUM(F394:W394)</f>
        <v>0</v>
      </c>
      <c r="W394" s="8">
        <f>SUM(X394:AO394)</f>
        <v>0</v>
      </c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</row>
    <row r="395" spans="1:42" ht="12.75">
      <c r="A395">
        <v>267</v>
      </c>
      <c r="B395" s="20"/>
      <c r="D395" s="20"/>
      <c r="E395" s="8">
        <f>SUM(F395:W395)</f>
        <v>0</v>
      </c>
      <c r="W395" s="8">
        <f>SUM(X395:AO395)</f>
        <v>0</v>
      </c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</row>
    <row r="396" spans="1:42" ht="12.75">
      <c r="A396">
        <v>268</v>
      </c>
      <c r="B396" s="20"/>
      <c r="D396" s="20"/>
      <c r="E396" s="8">
        <f>SUM(F396:W396)</f>
        <v>0</v>
      </c>
      <c r="W396" s="8">
        <f>SUM(X396:AO396)</f>
        <v>0</v>
      </c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</row>
    <row r="397" spans="1:42" ht="12.75">
      <c r="A397">
        <v>269</v>
      </c>
      <c r="B397" s="20"/>
      <c r="D397" s="20"/>
      <c r="E397" s="8">
        <f>SUM(F397:W397)</f>
        <v>0</v>
      </c>
      <c r="W397" s="8">
        <f>SUM(X397:AO397)</f>
        <v>0</v>
      </c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</row>
    <row r="398" spans="1:42" ht="12.75">
      <c r="A398">
        <v>270</v>
      </c>
      <c r="B398" s="20"/>
      <c r="D398" s="20"/>
      <c r="E398" s="8">
        <f>SUM(F398:W398)</f>
        <v>0</v>
      </c>
      <c r="W398" s="8">
        <f>SUM(X398:AO398)</f>
        <v>0</v>
      </c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</row>
    <row r="399" spans="1:42" ht="12.75">
      <c r="A399">
        <v>271</v>
      </c>
      <c r="B399" s="20"/>
      <c r="D399" s="20"/>
      <c r="E399" s="8">
        <f>SUM(F399:W399)</f>
        <v>0</v>
      </c>
      <c r="W399" s="8">
        <f>SUM(X399:AO399)</f>
        <v>0</v>
      </c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</row>
    <row r="400" spans="1:42" ht="12.75">
      <c r="A400">
        <v>272</v>
      </c>
      <c r="B400" s="20"/>
      <c r="D400" s="20"/>
      <c r="E400" s="8">
        <f>SUM(F400:W400)</f>
        <v>0</v>
      </c>
      <c r="W400" s="8">
        <f>SUM(X400:AO400)</f>
        <v>0</v>
      </c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</row>
    <row r="401" spans="1:42" ht="12.75">
      <c r="A401">
        <v>273</v>
      </c>
      <c r="B401" s="20"/>
      <c r="D401" s="20"/>
      <c r="E401" s="8">
        <f>SUM(F401:W401)</f>
        <v>0</v>
      </c>
      <c r="W401" s="8">
        <f>SUM(X401:AO401)</f>
        <v>0</v>
      </c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</row>
    <row r="402" spans="1:42" ht="12.75">
      <c r="A402">
        <v>274</v>
      </c>
      <c r="B402" s="20"/>
      <c r="D402" s="20"/>
      <c r="E402" s="8">
        <f>SUM(F402:W402)</f>
        <v>0</v>
      </c>
      <c r="W402" s="8">
        <f>SUM(X402:AO402)</f>
        <v>0</v>
      </c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</row>
    <row r="403" spans="1:42" ht="12.75">
      <c r="A403">
        <v>275</v>
      </c>
      <c r="B403" s="20"/>
      <c r="D403" s="20"/>
      <c r="E403" s="8">
        <f>SUM(F403:W403)</f>
        <v>0</v>
      </c>
      <c r="W403" s="8">
        <f>SUM(X403:AO403)</f>
        <v>0</v>
      </c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</row>
    <row r="404" spans="1:42" ht="12.75">
      <c r="A404">
        <v>276</v>
      </c>
      <c r="B404" s="20"/>
      <c r="D404" s="20"/>
      <c r="E404" s="8">
        <f>SUM(F404:W404)</f>
        <v>0</v>
      </c>
      <c r="W404" s="8">
        <f>SUM(X404:AO404)</f>
        <v>0</v>
      </c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</row>
    <row r="405" spans="1:42" ht="12.75">
      <c r="A405">
        <v>377</v>
      </c>
      <c r="B405" s="20"/>
      <c r="D405" s="20"/>
      <c r="E405" s="8">
        <f>SUM(F405:W405)</f>
        <v>0</v>
      </c>
      <c r="W405" s="8">
        <f>SUM(X405:AO405)</f>
        <v>0</v>
      </c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</row>
    <row r="406" spans="1:42" ht="12.75">
      <c r="A406">
        <v>378</v>
      </c>
      <c r="B406" s="20"/>
      <c r="D406" s="20"/>
      <c r="E406" s="8">
        <f>SUM(F406:W406)</f>
        <v>0</v>
      </c>
      <c r="W406" s="8">
        <f>SUM(X406:AO406)</f>
        <v>0</v>
      </c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</row>
    <row r="407" spans="1:42" ht="12.75">
      <c r="A407">
        <v>379</v>
      </c>
      <c r="B407" s="20"/>
      <c r="D407" s="20"/>
      <c r="E407" s="8">
        <f>SUM(F407:W407)</f>
        <v>0</v>
      </c>
      <c r="W407" s="8">
        <f>SUM(X407:AO407)</f>
        <v>0</v>
      </c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</row>
    <row r="408" spans="1:42" ht="12.75">
      <c r="A408">
        <v>380</v>
      </c>
      <c r="B408" s="20"/>
      <c r="D408" s="20"/>
      <c r="E408" s="8">
        <f>SUM(F408:W408)</f>
        <v>0</v>
      </c>
      <c r="W408" s="8">
        <f>SUM(X408:AO408)</f>
        <v>0</v>
      </c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</row>
    <row r="409" spans="1:42" ht="12.75">
      <c r="A409">
        <v>381</v>
      </c>
      <c r="B409" s="20"/>
      <c r="D409" s="20"/>
      <c r="E409" s="8">
        <f>SUM(F409:W409)</f>
        <v>0</v>
      </c>
      <c r="W409" s="8">
        <f>SUM(X409:AO409)</f>
        <v>0</v>
      </c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</row>
    <row r="410" spans="1:42" ht="12.75">
      <c r="A410">
        <v>382</v>
      </c>
      <c r="B410" s="20"/>
      <c r="D410" s="20"/>
      <c r="E410" s="8">
        <f>SUM(F410:W410)</f>
        <v>0</v>
      </c>
      <c r="W410" s="8">
        <f>SUM(X410:AO410)</f>
        <v>0</v>
      </c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</row>
    <row r="411" spans="1:42" ht="12.75">
      <c r="A411">
        <v>383</v>
      </c>
      <c r="B411" s="20"/>
      <c r="D411" s="20"/>
      <c r="E411" s="8">
        <f>SUM(F411:W411)</f>
        <v>0</v>
      </c>
      <c r="W411" s="8">
        <f>SUM(X411:AO411)</f>
        <v>0</v>
      </c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</row>
    <row r="412" spans="1:42" ht="12.75">
      <c r="A412">
        <v>384</v>
      </c>
      <c r="B412" s="20"/>
      <c r="D412" s="20"/>
      <c r="E412" s="8">
        <f>SUM(F412:W412)</f>
        <v>0</v>
      </c>
      <c r="W412" s="8">
        <f>SUM(X412:AO412)</f>
        <v>0</v>
      </c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</row>
    <row r="413" spans="1:42" ht="12.75">
      <c r="A413">
        <v>385</v>
      </c>
      <c r="B413" s="20"/>
      <c r="D413" s="20"/>
      <c r="E413" s="8">
        <f>SUM(F413:W413)</f>
        <v>0</v>
      </c>
      <c r="W413" s="8">
        <f>SUM(X413:AO413)</f>
        <v>0</v>
      </c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</row>
    <row r="414" spans="1:42" ht="12.75">
      <c r="A414">
        <v>386</v>
      </c>
      <c r="B414" s="20"/>
      <c r="D414" s="20"/>
      <c r="E414" s="8">
        <f>SUM(F414:W414)</f>
        <v>0</v>
      </c>
      <c r="W414" s="8">
        <f>SUM(X414:AO414)</f>
        <v>0</v>
      </c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</row>
    <row r="415" spans="1:42" ht="12.75">
      <c r="A415">
        <v>387</v>
      </c>
      <c r="B415" s="20"/>
      <c r="D415" s="20"/>
      <c r="E415" s="8">
        <f>SUM(F415:W415)</f>
        <v>0</v>
      </c>
      <c r="W415" s="8">
        <f>SUM(X415:AO415)</f>
        <v>0</v>
      </c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</row>
    <row r="416" spans="1:42" ht="12.75">
      <c r="A416">
        <v>388</v>
      </c>
      <c r="B416" s="20"/>
      <c r="D416" s="20"/>
      <c r="E416" s="8">
        <f>SUM(F416:W416)</f>
        <v>0</v>
      </c>
      <c r="W416" s="8">
        <f>SUM(X416:AO416)</f>
        <v>0</v>
      </c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</row>
    <row r="417" spans="1:42" ht="12.75">
      <c r="A417">
        <v>389</v>
      </c>
      <c r="B417" s="20"/>
      <c r="D417" s="20"/>
      <c r="E417" s="8">
        <f>SUM(F417:W417)</f>
        <v>0</v>
      </c>
      <c r="W417" s="8">
        <f>SUM(X417:AO417)</f>
        <v>0</v>
      </c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</row>
    <row r="418" spans="1:42" ht="12.75">
      <c r="A418">
        <v>390</v>
      </c>
      <c r="B418" s="20"/>
      <c r="D418" s="20"/>
      <c r="E418" s="8">
        <f>SUM(F418:W418)</f>
        <v>0</v>
      </c>
      <c r="W418" s="8">
        <f>SUM(X418:AO418)</f>
        <v>0</v>
      </c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</row>
    <row r="419" spans="1:42" ht="12.75">
      <c r="A419">
        <v>391</v>
      </c>
      <c r="B419" s="20"/>
      <c r="D419" s="20"/>
      <c r="E419" s="8">
        <f>SUM(F419:W419)</f>
        <v>0</v>
      </c>
      <c r="W419" s="8">
        <f>SUM(X419:AO419)</f>
        <v>0</v>
      </c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</row>
    <row r="420" spans="1:42" ht="12.75">
      <c r="A420">
        <v>392</v>
      </c>
      <c r="B420" s="20"/>
      <c r="D420" s="20"/>
      <c r="E420" s="8">
        <f>SUM(F420:W420)</f>
        <v>0</v>
      </c>
      <c r="W420" s="8">
        <f>SUM(X420:AO420)</f>
        <v>0</v>
      </c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</row>
    <row r="421" spans="1:42" ht="12.75">
      <c r="A421">
        <v>393</v>
      </c>
      <c r="B421" s="20"/>
      <c r="D421" s="20"/>
      <c r="E421" s="8">
        <f>SUM(F421:W421)</f>
        <v>0</v>
      </c>
      <c r="W421" s="8">
        <f>SUM(X421:AO421)</f>
        <v>0</v>
      </c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</row>
    <row r="422" spans="1:42" ht="12.75">
      <c r="A422">
        <v>394</v>
      </c>
      <c r="B422" s="20"/>
      <c r="D422" s="20"/>
      <c r="E422" s="8">
        <f>SUM(F422:W422)</f>
        <v>0</v>
      </c>
      <c r="W422" s="8">
        <f>SUM(X422:AO422)</f>
        <v>0</v>
      </c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</row>
    <row r="423" spans="1:42" ht="12.75">
      <c r="A423">
        <v>395</v>
      </c>
      <c r="B423" s="20"/>
      <c r="D423" s="20"/>
      <c r="E423" s="8">
        <f>SUM(F423:W423)</f>
        <v>0</v>
      </c>
      <c r="W423" s="8">
        <f>SUM(X423:AO423)</f>
        <v>0</v>
      </c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</row>
    <row r="424" spans="1:42" ht="12.75">
      <c r="A424">
        <v>396</v>
      </c>
      <c r="B424" s="20"/>
      <c r="D424" s="20"/>
      <c r="E424" s="8">
        <f>SUM(F424:W424)</f>
        <v>0</v>
      </c>
      <c r="W424" s="8">
        <f>SUM(X424:AO424)</f>
        <v>0</v>
      </c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</row>
    <row r="425" spans="1:42" ht="12.75">
      <c r="A425">
        <v>397</v>
      </c>
      <c r="B425" s="20"/>
      <c r="D425" s="20"/>
      <c r="E425" s="8">
        <f>SUM(F425:W425)</f>
        <v>0</v>
      </c>
      <c r="W425" s="8">
        <f>SUM(X425:AO425)</f>
        <v>0</v>
      </c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</row>
    <row r="426" spans="1:42" ht="12.75">
      <c r="A426">
        <v>398</v>
      </c>
      <c r="B426" s="20"/>
      <c r="D426" s="20"/>
      <c r="E426" s="8">
        <f>SUM(F426:W426)</f>
        <v>0</v>
      </c>
      <c r="W426" s="8">
        <f>SUM(X426:AO426)</f>
        <v>0</v>
      </c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</row>
    <row r="427" spans="1:42" ht="12.75">
      <c r="A427">
        <v>399</v>
      </c>
      <c r="B427" s="20"/>
      <c r="D427" s="20"/>
      <c r="E427" s="8">
        <f>SUM(F427:W427)</f>
        <v>0</v>
      </c>
      <c r="W427" s="8">
        <f>SUM(X427:AO427)</f>
        <v>0</v>
      </c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</row>
    <row r="428" spans="1:42" ht="12.75">
      <c r="A428">
        <v>400</v>
      </c>
      <c r="B428" s="20"/>
      <c r="D428" s="20"/>
      <c r="E428" s="8">
        <f>SUM(F428:W428)</f>
        <v>0</v>
      </c>
      <c r="W428" s="8">
        <f>SUM(X428:AO428)</f>
        <v>0</v>
      </c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</row>
    <row r="429" spans="1:42" ht="12.75">
      <c r="A429">
        <v>401</v>
      </c>
      <c r="B429" s="20"/>
      <c r="D429" s="20"/>
      <c r="E429" s="8">
        <f>SUM(F429:W429)</f>
        <v>0</v>
      </c>
      <c r="W429" s="8">
        <f>SUM(X429:AO429)</f>
        <v>0</v>
      </c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</row>
    <row r="430" spans="1:42" ht="12.75">
      <c r="A430">
        <v>402</v>
      </c>
      <c r="B430" s="20"/>
      <c r="E430" s="8">
        <f>SUM(F430:W430)</f>
        <v>0</v>
      </c>
      <c r="W430" s="8">
        <f>SUM(X430:AO430)</f>
        <v>0</v>
      </c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</row>
    <row r="431" spans="1:42" ht="12.75">
      <c r="A431">
        <v>403</v>
      </c>
      <c r="B431" s="20"/>
      <c r="E431" s="8">
        <f>SUM(F431:W431)</f>
        <v>0</v>
      </c>
      <c r="W431" s="8">
        <f>SUM(X431:AO431)</f>
        <v>0</v>
      </c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</row>
    <row r="432" spans="1:42" ht="12.75">
      <c r="A432">
        <v>404</v>
      </c>
      <c r="B432" s="20"/>
      <c r="E432" s="8">
        <f>SUM(F432:W432)</f>
        <v>0</v>
      </c>
      <c r="W432" s="8">
        <f>SUM(X432:AO432)</f>
        <v>0</v>
      </c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</row>
    <row r="433" spans="1:42" ht="12.75">
      <c r="A433">
        <v>405</v>
      </c>
      <c r="B433" s="20"/>
      <c r="E433" s="8">
        <f>SUM(F433:W433)</f>
        <v>0</v>
      </c>
      <c r="W433" s="8">
        <f>SUM(X433:AO433)</f>
        <v>0</v>
      </c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</row>
    <row r="434" spans="1:42" ht="12.75">
      <c r="A434">
        <v>406</v>
      </c>
      <c r="B434" s="20"/>
      <c r="E434" s="8">
        <f>SUM(F434:W434)</f>
        <v>0</v>
      </c>
      <c r="W434" s="8">
        <f>SUM(X434:AO434)</f>
        <v>0</v>
      </c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</row>
    <row r="435" spans="1:42" ht="12.75">
      <c r="A435">
        <v>407</v>
      </c>
      <c r="B435" s="20"/>
      <c r="E435" s="8">
        <f>SUM(F435:W435)</f>
        <v>0</v>
      </c>
      <c r="W435" s="8">
        <f>SUM(X435:AO435)</f>
        <v>0</v>
      </c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</row>
    <row r="436" spans="1:42" ht="12.75">
      <c r="A436">
        <v>408</v>
      </c>
      <c r="B436" s="20"/>
      <c r="E436" s="8">
        <f>SUM(F436:W436)</f>
        <v>0</v>
      </c>
      <c r="W436" s="8">
        <f>SUM(X436:AO436)</f>
        <v>0</v>
      </c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</row>
    <row r="437" spans="1:42" ht="12.75">
      <c r="A437">
        <v>409</v>
      </c>
      <c r="B437" s="20"/>
      <c r="E437" s="8">
        <f>SUM(F437:W437)</f>
        <v>0</v>
      </c>
      <c r="W437" s="8">
        <f>SUM(X437:AO437)</f>
        <v>0</v>
      </c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</row>
    <row r="438" spans="1:42" ht="12.75">
      <c r="A438">
        <v>410</v>
      </c>
      <c r="B438" s="20"/>
      <c r="E438" s="8">
        <f>SUM(F438:W438)</f>
        <v>0</v>
      </c>
      <c r="W438" s="8">
        <f>SUM(X438:AO438)</f>
        <v>0</v>
      </c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</row>
    <row r="439" spans="1:42" ht="12.75">
      <c r="A439">
        <v>411</v>
      </c>
      <c r="B439" s="20"/>
      <c r="E439" s="8">
        <f>SUM(F439:W439)</f>
        <v>0</v>
      </c>
      <c r="W439" s="8">
        <f>SUM(X439:AO439)</f>
        <v>0</v>
      </c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</row>
    <row r="440" spans="1:42" ht="12.75">
      <c r="A440">
        <v>412</v>
      </c>
      <c r="B440" s="20"/>
      <c r="E440" s="8">
        <f>SUM(F440:W440)</f>
        <v>0</v>
      </c>
      <c r="W440" s="8">
        <f>SUM(X440:AO440)</f>
        <v>0</v>
      </c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</row>
    <row r="441" spans="1:42" ht="12.75">
      <c r="A441">
        <v>413</v>
      </c>
      <c r="B441" s="20"/>
      <c r="E441" s="8">
        <f>SUM(F441:W441)</f>
        <v>0</v>
      </c>
      <c r="W441" s="8">
        <f>SUM(X441:AO441)</f>
        <v>0</v>
      </c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</row>
    <row r="442" spans="1:42" ht="12.75">
      <c r="A442">
        <v>414</v>
      </c>
      <c r="B442" s="20"/>
      <c r="E442" s="8">
        <f>SUM(F442:W442)</f>
        <v>0</v>
      </c>
      <c r="W442" s="8">
        <f>SUM(X442:AO442)</f>
        <v>0</v>
      </c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</row>
    <row r="443" spans="1:42" ht="12.75">
      <c r="A443">
        <v>415</v>
      </c>
      <c r="B443" s="20"/>
      <c r="E443" s="8">
        <f>SUM(F443:W443)</f>
        <v>0</v>
      </c>
      <c r="W443" s="8">
        <f>SUM(X443:AO443)</f>
        <v>0</v>
      </c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</row>
    <row r="444" spans="1:42" ht="12.75">
      <c r="A444">
        <v>416</v>
      </c>
      <c r="B444" s="20"/>
      <c r="E444" s="8">
        <f>SUM(F444:W444)</f>
        <v>0</v>
      </c>
      <c r="W444" s="8">
        <f>SUM(X444:AO444)</f>
        <v>0</v>
      </c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</row>
    <row r="445" spans="1:42" ht="12.75">
      <c r="A445">
        <v>417</v>
      </c>
      <c r="B445" s="20"/>
      <c r="E445" s="8">
        <f>SUM(F445:W445)</f>
        <v>0</v>
      </c>
      <c r="W445" s="8">
        <f>SUM(X445:AO445)</f>
        <v>0</v>
      </c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</row>
    <row r="446" spans="1:42" ht="12.75">
      <c r="A446">
        <v>418</v>
      </c>
      <c r="B446" s="20"/>
      <c r="E446" s="8">
        <f>SUM(F446:W446)</f>
        <v>0</v>
      </c>
      <c r="W446" s="8">
        <f>SUM(X446:AO446)</f>
        <v>0</v>
      </c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</row>
    <row r="447" spans="1:42" ht="12.75">
      <c r="A447">
        <v>419</v>
      </c>
      <c r="B447" s="20"/>
      <c r="E447" s="8">
        <f>SUM(F447:W447)</f>
        <v>0</v>
      </c>
      <c r="W447" s="8">
        <f>SUM(X447:AO447)</f>
        <v>0</v>
      </c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</row>
    <row r="448" spans="1:42" ht="12.75">
      <c r="A448">
        <v>420</v>
      </c>
      <c r="B448" s="20"/>
      <c r="E448" s="8">
        <f>SUM(F448:W448)</f>
        <v>0</v>
      </c>
      <c r="W448" s="8">
        <f>SUM(X448:AO448)</f>
        <v>0</v>
      </c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</row>
    <row r="449" spans="1:42" ht="12.75">
      <c r="A449">
        <v>430</v>
      </c>
      <c r="B449" s="20"/>
      <c r="E449" s="8">
        <f>SUM(F449:W449)</f>
        <v>0</v>
      </c>
      <c r="W449" s="8">
        <f>SUM(X449:AO449)</f>
        <v>0</v>
      </c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</row>
    <row r="450" spans="1:42" ht="12.75">
      <c r="A450">
        <v>431</v>
      </c>
      <c r="B450" s="20"/>
      <c r="E450" s="8">
        <f>SUM(F450:W450)</f>
        <v>0</v>
      </c>
      <c r="W450" s="8">
        <f>SUM(X450:AO450)</f>
        <v>0</v>
      </c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</row>
    <row r="451" spans="1:42" ht="12.75">
      <c r="A451">
        <v>432</v>
      </c>
      <c r="B451" s="20"/>
      <c r="E451" s="8">
        <f>SUM(F451:W451)</f>
        <v>0</v>
      </c>
      <c r="W451" s="8">
        <f>SUM(X451:AO451)</f>
        <v>0</v>
      </c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</row>
    <row r="452" spans="1:42" ht="12.75">
      <c r="A452">
        <v>433</v>
      </c>
      <c r="B452" s="20"/>
      <c r="E452" s="8">
        <f>SUM(F452:W452)</f>
        <v>0</v>
      </c>
      <c r="W452" s="8">
        <f>SUM(X452:AO452)</f>
        <v>0</v>
      </c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</row>
    <row r="453" spans="1:42" ht="12.75">
      <c r="A453">
        <v>434</v>
      </c>
      <c r="B453" s="20"/>
      <c r="E453" s="8">
        <f>SUM(F453:W453)</f>
        <v>0</v>
      </c>
      <c r="W453" s="8">
        <f>SUM(X453:AO453)</f>
        <v>0</v>
      </c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</row>
    <row r="454" spans="1:42" ht="12.75">
      <c r="A454">
        <v>435</v>
      </c>
      <c r="B454" s="20"/>
      <c r="E454" s="8">
        <f>SUM(F454:W454)</f>
        <v>0</v>
      </c>
      <c r="W454" s="8">
        <f>SUM(X454:AO454)</f>
        <v>0</v>
      </c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</row>
    <row r="455" spans="1:42" ht="12.75">
      <c r="A455">
        <v>436</v>
      </c>
      <c r="B455" s="20"/>
      <c r="E455" s="8">
        <f>SUM(F455:W455)</f>
        <v>0</v>
      </c>
      <c r="W455" s="8">
        <f>SUM(X455:AO455)</f>
        <v>0</v>
      </c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</row>
    <row r="456" spans="1:42" ht="12.75">
      <c r="A456">
        <v>437</v>
      </c>
      <c r="B456" s="20"/>
      <c r="E456" s="8">
        <f>SUM(F456:W456)</f>
        <v>0</v>
      </c>
      <c r="W456" s="8">
        <f>SUM(X456:AO456)</f>
        <v>0</v>
      </c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</row>
    <row r="457" spans="1:42" ht="12.75">
      <c r="A457">
        <v>438</v>
      </c>
      <c r="B457" s="20"/>
      <c r="E457" s="8">
        <f>SUM(F457:W457)</f>
        <v>0</v>
      </c>
      <c r="W457" s="8">
        <f>SUM(X457:AO457)</f>
        <v>0</v>
      </c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</row>
    <row r="458" spans="1:42" ht="12.75">
      <c r="A458">
        <v>439</v>
      </c>
      <c r="B458" s="20"/>
      <c r="E458" s="8">
        <f>SUM(F458:W458)</f>
        <v>0</v>
      </c>
      <c r="W458" s="8">
        <f>SUM(X458:AO458)</f>
        <v>0</v>
      </c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</row>
    <row r="459" spans="1:42" ht="12.75">
      <c r="A459">
        <v>440</v>
      </c>
      <c r="B459" s="20"/>
      <c r="E459" s="8">
        <f>SUM(F459:W459)</f>
        <v>0</v>
      </c>
      <c r="W459" s="8">
        <f>SUM(X459:AO459)</f>
        <v>0</v>
      </c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</row>
    <row r="460" spans="1:42" ht="12.75">
      <c r="A460">
        <v>441</v>
      </c>
      <c r="B460" s="20"/>
      <c r="E460" s="8">
        <f>SUM(F460:W460)</f>
        <v>0</v>
      </c>
      <c r="W460" s="8">
        <f>SUM(X460:AO460)</f>
        <v>0</v>
      </c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</row>
    <row r="461" spans="1:42" ht="12.75">
      <c r="A461">
        <v>442</v>
      </c>
      <c r="B461" s="20"/>
      <c r="E461" s="8">
        <f>SUM(F461:W461)</f>
        <v>0</v>
      </c>
      <c r="W461" s="8">
        <f>SUM(X461:AO461)</f>
        <v>0</v>
      </c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</row>
    <row r="462" spans="1:42" ht="12.75">
      <c r="A462">
        <v>443</v>
      </c>
      <c r="B462" s="20"/>
      <c r="E462" s="8">
        <f>SUM(F462:W462)</f>
        <v>0</v>
      </c>
      <c r="W462" s="8">
        <f>SUM(X462:AO462)</f>
        <v>0</v>
      </c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</row>
    <row r="463" spans="1:42" ht="12.75">
      <c r="A463">
        <v>444</v>
      </c>
      <c r="B463" s="20"/>
      <c r="E463" s="8">
        <f>SUM(F463:W463)</f>
        <v>0</v>
      </c>
      <c r="W463" s="8">
        <f>SUM(X463:AO463)</f>
        <v>0</v>
      </c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</row>
    <row r="464" spans="1:42" ht="12.75">
      <c r="A464">
        <v>445</v>
      </c>
      <c r="B464" s="20"/>
      <c r="E464" s="8">
        <f>SUM(F464:W464)</f>
        <v>0</v>
      </c>
      <c r="W464" s="8">
        <f>SUM(X464:AO464)</f>
        <v>0</v>
      </c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</row>
    <row r="465" spans="1:42" ht="12.75">
      <c r="A465">
        <v>446</v>
      </c>
      <c r="B465" s="20"/>
      <c r="E465" s="8">
        <f>SUM(F465:W465)</f>
        <v>0</v>
      </c>
      <c r="W465" s="24">
        <f>SUM(X465:AP465)</f>
        <v>0</v>
      </c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1"/>
      <c r="AP465" s="23"/>
    </row>
    <row r="466" spans="1:42" ht="12.75">
      <c r="A466">
        <v>447</v>
      </c>
      <c r="B466" s="20"/>
      <c r="E466" s="8">
        <f>SUM(F466:W466)</f>
        <v>0</v>
      </c>
      <c r="W466" s="24">
        <f>SUM(X466:AP466)</f>
        <v>0</v>
      </c>
      <c r="X466" s="4"/>
      <c r="Y466" s="4"/>
      <c r="Z466" s="4"/>
      <c r="AA466" s="4"/>
      <c r="AB466" s="4"/>
      <c r="AC466" s="4"/>
      <c r="AD466" s="4"/>
      <c r="AE466" s="25"/>
      <c r="AF466" s="4"/>
      <c r="AG466" s="4"/>
      <c r="AH466" s="1"/>
      <c r="AI466" s="1"/>
      <c r="AJ466" s="1"/>
      <c r="AK466" s="1"/>
      <c r="AL466" s="4"/>
      <c r="AM466" s="4"/>
      <c r="AN466" s="1"/>
      <c r="AO466" s="1"/>
      <c r="AP466" s="23"/>
    </row>
    <row r="467" spans="1:42" ht="12.75">
      <c r="A467">
        <v>448</v>
      </c>
      <c r="B467" s="20"/>
      <c r="E467" s="8">
        <f>SUM(F467:W467)</f>
        <v>0</v>
      </c>
      <c r="W467" s="8">
        <f>SUM(X467:AO467)</f>
        <v>0</v>
      </c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</row>
    <row r="468" spans="1:42" ht="12.75">
      <c r="A468">
        <v>449</v>
      </c>
      <c r="B468" s="20"/>
      <c r="D468" s="21"/>
      <c r="E468" s="8">
        <f>SUM(F468:W468)</f>
        <v>0</v>
      </c>
      <c r="W468" s="8">
        <f>SUM(X468:AO468)</f>
        <v>0</v>
      </c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</row>
    <row r="469" spans="1:42" ht="12.75">
      <c r="A469">
        <v>450</v>
      </c>
      <c r="B469" s="20"/>
      <c r="E469" s="8">
        <f>SUM(F469:W469)</f>
        <v>0</v>
      </c>
      <c r="W469" s="8">
        <f>SUM(X469:AO469)</f>
        <v>0</v>
      </c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</row>
    <row r="470" spans="1:42" ht="12.75">
      <c r="A470">
        <v>451</v>
      </c>
      <c r="B470" s="20"/>
      <c r="E470" s="8">
        <f>SUM(F470:W470)</f>
        <v>0</v>
      </c>
      <c r="W470" s="8">
        <f>SUM(X470:AO470)</f>
        <v>0</v>
      </c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</row>
    <row r="471" spans="1:42" ht="12.75">
      <c r="A471">
        <v>452</v>
      </c>
      <c r="B471" s="20"/>
      <c r="E471" s="8">
        <f>SUM(F471:W471)</f>
        <v>0</v>
      </c>
      <c r="W471" s="8">
        <f>SUM(X471:AO471)</f>
        <v>0</v>
      </c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</row>
    <row r="472" spans="1:42" ht="12.75">
      <c r="A472">
        <v>453</v>
      </c>
      <c r="B472" s="20"/>
      <c r="E472" s="8">
        <f>SUM(F472:W472)</f>
        <v>0</v>
      </c>
      <c r="W472" s="8">
        <f>SUM(X472:AO472)</f>
        <v>0</v>
      </c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</row>
    <row r="473" spans="2:42" ht="12.75">
      <c r="B473" s="20"/>
      <c r="E473" s="8">
        <f>SUM(F473:W473)</f>
        <v>0</v>
      </c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8">
        <f>SUM(X473:AO473)</f>
        <v>0</v>
      </c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</row>
    <row r="474" spans="2:42" ht="12.75">
      <c r="B474" s="20"/>
      <c r="E474" s="8">
        <f>SUM(F474:W474)</f>
        <v>0</v>
      </c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8">
        <f>SUM(X474:AO474)</f>
        <v>0</v>
      </c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</row>
    <row r="475" spans="2:42" ht="12.75">
      <c r="B475" s="20"/>
      <c r="E475" s="8">
        <f>SUM(F475:W475)</f>
        <v>0</v>
      </c>
      <c r="F475" s="4" t="s">
        <v>13</v>
      </c>
      <c r="G475" s="4" t="s">
        <v>14</v>
      </c>
      <c r="H475" s="4" t="s">
        <v>15</v>
      </c>
      <c r="I475" s="4" t="s">
        <v>16</v>
      </c>
      <c r="J475" s="4" t="s">
        <v>17</v>
      </c>
      <c r="K475" s="4"/>
      <c r="L475" s="4" t="s">
        <v>13</v>
      </c>
      <c r="M475" s="4" t="s">
        <v>15</v>
      </c>
      <c r="N475" s="4" t="s">
        <v>17</v>
      </c>
      <c r="O475" s="4"/>
      <c r="P475" s="4" t="s">
        <v>15</v>
      </c>
      <c r="Q475" s="4" t="s">
        <v>17</v>
      </c>
      <c r="R475" s="4"/>
      <c r="S475" s="4"/>
      <c r="T475" s="4" t="s">
        <v>21</v>
      </c>
      <c r="U475" s="4" t="s">
        <v>21</v>
      </c>
      <c r="V475" s="4" t="s">
        <v>21</v>
      </c>
      <c r="W475" s="8">
        <f>SUM(X475:AP475)</f>
        <v>0</v>
      </c>
      <c r="X475" s="4" t="s">
        <v>23</v>
      </c>
      <c r="Y475" s="4" t="s">
        <v>24</v>
      </c>
      <c r="Z475" s="4" t="s">
        <v>25</v>
      </c>
      <c r="AA475" s="4" t="s">
        <v>26</v>
      </c>
      <c r="AB475" s="4" t="s">
        <v>27</v>
      </c>
      <c r="AC475" s="4" t="s">
        <v>28</v>
      </c>
      <c r="AD475" s="4" t="s">
        <v>29</v>
      </c>
      <c r="AE475" s="4" t="s">
        <v>22</v>
      </c>
      <c r="AF475" s="4" t="s">
        <v>30</v>
      </c>
      <c r="AG475" s="4" t="s">
        <v>31</v>
      </c>
      <c r="AH475" s="4" t="s">
        <v>32</v>
      </c>
      <c r="AI475" s="4" t="s">
        <v>33</v>
      </c>
      <c r="AJ475" s="4" t="s">
        <v>34</v>
      </c>
      <c r="AK475" s="4" t="s">
        <v>35</v>
      </c>
      <c r="AL475" s="4" t="s">
        <v>35</v>
      </c>
      <c r="AM475" s="4"/>
      <c r="AN475" s="4" t="s">
        <v>36</v>
      </c>
      <c r="AO475" s="1"/>
      <c r="AP475" s="23"/>
    </row>
    <row r="476" spans="2:42" ht="12.75">
      <c r="B476" s="20"/>
      <c r="D476" s="20"/>
      <c r="E476" s="8">
        <f>SUM(F476:W476)</f>
        <v>0</v>
      </c>
      <c r="F476" s="4" t="s">
        <v>38</v>
      </c>
      <c r="G476" s="4" t="s">
        <v>39</v>
      </c>
      <c r="H476" s="4"/>
      <c r="I476" s="4"/>
      <c r="J476" s="4" t="s">
        <v>40</v>
      </c>
      <c r="K476" s="4"/>
      <c r="L476" s="4" t="s">
        <v>38</v>
      </c>
      <c r="M476" s="4" t="s">
        <v>0</v>
      </c>
      <c r="N476" s="4" t="s">
        <v>40</v>
      </c>
      <c r="O476" s="4"/>
      <c r="P476" s="4"/>
      <c r="Q476" s="4" t="s">
        <v>40</v>
      </c>
      <c r="R476" s="4"/>
      <c r="S476" s="4"/>
      <c r="T476" s="5" t="s">
        <v>42</v>
      </c>
      <c r="U476" s="4" t="s">
        <v>43</v>
      </c>
      <c r="V476" s="4" t="s">
        <v>44</v>
      </c>
      <c r="W476" s="8">
        <f>SUM(X476:AP476)</f>
        <v>0</v>
      </c>
      <c r="X476" s="4" t="s">
        <v>46</v>
      </c>
      <c r="Y476" s="4" t="s">
        <v>47</v>
      </c>
      <c r="Z476" s="4"/>
      <c r="AA476" s="4" t="s">
        <v>48</v>
      </c>
      <c r="AB476" s="4" t="s">
        <v>49</v>
      </c>
      <c r="AC476" s="4"/>
      <c r="AD476" s="4"/>
      <c r="AE476" s="4" t="s">
        <v>50</v>
      </c>
      <c r="AF476" s="4"/>
      <c r="AG476" s="4"/>
      <c r="AH476" s="1" t="s">
        <v>51</v>
      </c>
      <c r="AI476" s="1" t="s">
        <v>52</v>
      </c>
      <c r="AJ476" s="1" t="s">
        <v>53</v>
      </c>
      <c r="AK476" s="1"/>
      <c r="AL476" s="4" t="s">
        <v>0</v>
      </c>
      <c r="AM476" s="4"/>
      <c r="AN476" s="1"/>
      <c r="AO476" s="1"/>
      <c r="AP476" s="23"/>
    </row>
    <row r="477" spans="2:42" ht="12.75">
      <c r="B477" s="20"/>
      <c r="E477" s="8">
        <f>SUM(F477:W477)</f>
        <v>0</v>
      </c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8">
        <f>SUM(X477:AO477)</f>
        <v>0</v>
      </c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</row>
    <row r="478" spans="2:42" ht="12.75">
      <c r="B478" s="20"/>
      <c r="E478" s="8">
        <f>SUM(F478:W478)</f>
        <v>0</v>
      </c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8">
        <f>SUM(X478:AO478)</f>
        <v>0</v>
      </c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</row>
    <row r="479" spans="1:42" ht="12.75">
      <c r="A479" s="21"/>
      <c r="B479" s="20"/>
      <c r="E479" s="8">
        <f>SUM(F479:W479)</f>
        <v>0</v>
      </c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8">
        <f>SUM(X479:AO479)</f>
        <v>0</v>
      </c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</row>
    <row r="480" spans="2:42" ht="12.75">
      <c r="B480" s="20"/>
      <c r="E480" s="8">
        <f>SUM(F480:W480)</f>
        <v>0</v>
      </c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8">
        <f>SUM(X480:AO480)</f>
        <v>0</v>
      </c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</row>
    <row r="481" spans="2:42" ht="12.75">
      <c r="B481" s="20"/>
      <c r="E481" s="8">
        <f>SUM(F481:W481)</f>
        <v>0</v>
      </c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8">
        <f>SUM(X481:AO481)</f>
        <v>0</v>
      </c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</row>
    <row r="482" spans="2:42" ht="12.75">
      <c r="B482" s="20"/>
      <c r="E482" s="8">
        <f>SUM(F482:W482)</f>
        <v>0</v>
      </c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8">
        <f>SUM(X482:AO482)</f>
        <v>0</v>
      </c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</row>
    <row r="483" spans="2:42" ht="12.75">
      <c r="B483" s="20"/>
      <c r="E483" s="8">
        <f>SUM(F483:W483)</f>
        <v>0</v>
      </c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8">
        <f>SUM(X483:AO483)</f>
        <v>0</v>
      </c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</row>
    <row r="484" spans="2:42" ht="12.75">
      <c r="B484" s="20"/>
      <c r="E484" s="8">
        <f>SUM(F484:W484)</f>
        <v>0</v>
      </c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8">
        <f>SUM(X484:AO484)</f>
        <v>0</v>
      </c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</row>
    <row r="485" spans="2:42" ht="12.75">
      <c r="B485" s="20"/>
      <c r="E485" s="8">
        <f>SUM(F485:W485)</f>
        <v>0</v>
      </c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8">
        <f>SUM(X485:AO485)</f>
        <v>0</v>
      </c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</row>
    <row r="486" spans="2:42" ht="12.75">
      <c r="B486" s="20"/>
      <c r="E486" s="8">
        <f>SUM(F486:W486)</f>
        <v>0</v>
      </c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8">
        <f>SUM(X486:AO486)</f>
        <v>0</v>
      </c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</row>
    <row r="487" spans="2:42" ht="12.75">
      <c r="B487" s="20"/>
      <c r="E487" s="8">
        <f>SUM(F487:W487)</f>
        <v>0</v>
      </c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8">
        <f>SUM(X487:AO487)</f>
        <v>0</v>
      </c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</row>
    <row r="488" spans="2:42" ht="12.75">
      <c r="B488" s="20"/>
      <c r="E488" s="8">
        <f>SUM(F488:W488)</f>
        <v>0</v>
      </c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8">
        <f>SUM(X488:AO488)</f>
        <v>0</v>
      </c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</row>
    <row r="489" spans="2:42" ht="12.75">
      <c r="B489" s="20"/>
      <c r="E489" s="8">
        <f>SUM(F489:W489)</f>
        <v>0</v>
      </c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8">
        <f>SUM(X489:AO489)</f>
        <v>0</v>
      </c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</row>
    <row r="490" spans="2:42" ht="12.75">
      <c r="B490" s="20"/>
      <c r="E490" s="8">
        <f>SUM(F490:W490)</f>
        <v>0</v>
      </c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8">
        <f>SUM(X490:AO490)</f>
        <v>0</v>
      </c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</row>
    <row r="491" spans="2:42" ht="12.75">
      <c r="B491" s="20"/>
      <c r="E491" s="8">
        <f>SUM(F491:W491)</f>
        <v>0</v>
      </c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8">
        <f>SUM(X491:AO491)</f>
        <v>0</v>
      </c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</row>
    <row r="492" spans="2:42" ht="12.75">
      <c r="B492" s="20"/>
      <c r="E492" s="8">
        <f>SUM(F492:W492)</f>
        <v>0</v>
      </c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8">
        <f>SUM(X492:AO492)</f>
        <v>0</v>
      </c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</row>
    <row r="493" spans="2:42" ht="12.75">
      <c r="B493" s="20"/>
      <c r="E493" s="8">
        <f>SUM(F493:W493)</f>
        <v>0</v>
      </c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8">
        <f>SUM(X493:AO493)</f>
        <v>0</v>
      </c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</row>
    <row r="494" spans="2:42" ht="12.75">
      <c r="B494" s="20"/>
      <c r="E494" s="8">
        <f>SUM(F494:W494)</f>
        <v>0</v>
      </c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8">
        <f>SUM(X494:AO494)</f>
        <v>0</v>
      </c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</row>
    <row r="495" spans="2:42" ht="12.75">
      <c r="B495" s="20"/>
      <c r="E495" s="8">
        <f>SUM(F495:W495)</f>
        <v>0</v>
      </c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8">
        <f>SUM(X495:AO495)</f>
        <v>0</v>
      </c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</row>
    <row r="496" spans="2:42" ht="12.75">
      <c r="B496" s="20"/>
      <c r="E496" s="8">
        <f>SUM(F496:W496)</f>
        <v>0</v>
      </c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8">
        <f>SUM(X496:AO496)</f>
        <v>0</v>
      </c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</row>
    <row r="497" spans="2:42" ht="12.75">
      <c r="B497" s="20"/>
      <c r="E497" s="8">
        <f>SUM(F497:W497)</f>
        <v>0</v>
      </c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8">
        <f>SUM(X497:AO497)</f>
        <v>0</v>
      </c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</row>
    <row r="498" spans="2:42" ht="12.75">
      <c r="B498" s="20"/>
      <c r="E498" s="8">
        <f>SUM(F498:W498)</f>
        <v>0</v>
      </c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8">
        <f>SUM(X498:AO498)</f>
        <v>0</v>
      </c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</row>
    <row r="499" spans="2:42" ht="12.75">
      <c r="B499" s="20"/>
      <c r="E499" s="8">
        <f>SUM(F499:W499)</f>
        <v>0</v>
      </c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8">
        <f>SUM(X499:AO499)</f>
        <v>0</v>
      </c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</row>
    <row r="500" spans="2:42" ht="12.75">
      <c r="B500" s="20"/>
      <c r="E500" s="8">
        <f>SUM(F500:W500)</f>
        <v>0</v>
      </c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8">
        <f>SUM(X500:AO500)</f>
        <v>0</v>
      </c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</row>
    <row r="501" spans="2:42" ht="12.75">
      <c r="B501" s="20"/>
      <c r="E501" s="8">
        <f>SUM(F501:W501)</f>
        <v>0</v>
      </c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8">
        <f>SUM(X501:AO501)</f>
        <v>0</v>
      </c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</row>
    <row r="502" spans="2:42" ht="12.75">
      <c r="B502" s="20"/>
      <c r="E502" s="8">
        <f>SUM(F502:W502)</f>
        <v>0</v>
      </c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8">
        <f>SUM(X502:AO502)</f>
        <v>0</v>
      </c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</row>
    <row r="503" spans="2:42" ht="12.75">
      <c r="B503" s="20"/>
      <c r="E503" s="8">
        <f>SUM(F503:W503)</f>
        <v>0</v>
      </c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8">
        <f>SUM(X503:AO503)</f>
        <v>0</v>
      </c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</row>
    <row r="504" spans="2:42" ht="12.75">
      <c r="B504" s="20"/>
      <c r="E504" s="8">
        <f>SUM(F504:W504)</f>
        <v>0</v>
      </c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8">
        <f>SUM(X504:AO504)</f>
        <v>0</v>
      </c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</row>
    <row r="505" spans="2:42" ht="12.75">
      <c r="B505" s="20"/>
      <c r="E505" s="8">
        <f>SUM(F505:W505)</f>
        <v>0</v>
      </c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8">
        <f>SUM(X505:AO505)</f>
        <v>0</v>
      </c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</row>
    <row r="506" spans="2:42" ht="12.75">
      <c r="B506" s="20"/>
      <c r="E506" s="8">
        <f>SUM(F506:W506)</f>
        <v>0</v>
      </c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8">
        <f>SUM(X506:AO506)</f>
        <v>0</v>
      </c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</row>
    <row r="507" spans="2:42" ht="12.75">
      <c r="B507" s="20"/>
      <c r="E507" s="8">
        <f>SUM(F507:W507)</f>
        <v>0</v>
      </c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8">
        <f>SUM(X507:AO507)</f>
        <v>0</v>
      </c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</row>
    <row r="508" spans="2:42" ht="12.75">
      <c r="B508" s="20"/>
      <c r="E508" s="8">
        <f>SUM(F508:W508)</f>
        <v>0</v>
      </c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8">
        <f>SUM(X508:AO508)</f>
        <v>0</v>
      </c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</row>
    <row r="510" spans="4:43" ht="12.75">
      <c r="D510" s="4"/>
      <c r="E510" s="4" t="s">
        <v>12</v>
      </c>
      <c r="F510" s="4" t="s">
        <v>13</v>
      </c>
      <c r="G510" s="4" t="s">
        <v>14</v>
      </c>
      <c r="H510" s="4" t="s">
        <v>15</v>
      </c>
      <c r="I510" s="4" t="s">
        <v>16</v>
      </c>
      <c r="J510" s="4" t="s">
        <v>17</v>
      </c>
      <c r="K510" s="4"/>
      <c r="L510" s="4" t="s">
        <v>13</v>
      </c>
      <c r="M510" s="4" t="s">
        <v>15</v>
      </c>
      <c r="N510" s="4" t="s">
        <v>17</v>
      </c>
      <c r="O510" s="4"/>
      <c r="P510" s="4" t="s">
        <v>15</v>
      </c>
      <c r="Q510" s="4" t="s">
        <v>17</v>
      </c>
      <c r="R510" s="4"/>
      <c r="S510" s="4"/>
      <c r="T510" s="4" t="s">
        <v>21</v>
      </c>
      <c r="U510" s="4" t="s">
        <v>21</v>
      </c>
      <c r="V510" s="4" t="s">
        <v>21</v>
      </c>
      <c r="W510" s="4" t="s">
        <v>22</v>
      </c>
      <c r="X510" s="4" t="s">
        <v>23</v>
      </c>
      <c r="Y510" s="4" t="s">
        <v>24</v>
      </c>
      <c r="Z510" s="4" t="s">
        <v>25</v>
      </c>
      <c r="AA510" s="4" t="s">
        <v>26</v>
      </c>
      <c r="AB510" s="4" t="s">
        <v>27</v>
      </c>
      <c r="AC510" s="4" t="s">
        <v>28</v>
      </c>
      <c r="AD510" s="4" t="s">
        <v>29</v>
      </c>
      <c r="AE510" s="4" t="s">
        <v>22</v>
      </c>
      <c r="AF510" s="4" t="s">
        <v>30</v>
      </c>
      <c r="AG510" s="4" t="s">
        <v>31</v>
      </c>
      <c r="AH510" s="4" t="s">
        <v>32</v>
      </c>
      <c r="AI510" s="4" t="s">
        <v>33</v>
      </c>
      <c r="AJ510" s="4" t="s">
        <v>34</v>
      </c>
      <c r="AK510" s="4" t="s">
        <v>35</v>
      </c>
      <c r="AL510" s="4" t="s">
        <v>35</v>
      </c>
      <c r="AM510" s="4"/>
      <c r="AN510" s="4" t="s">
        <v>36</v>
      </c>
      <c r="AO510" s="1"/>
      <c r="AP510" s="1"/>
      <c r="AQ510" s="1" t="s">
        <v>37</v>
      </c>
    </row>
    <row r="511" spans="4:43" ht="12.75">
      <c r="D511" s="4"/>
      <c r="E511" s="4"/>
      <c r="F511" s="4" t="s">
        <v>38</v>
      </c>
      <c r="G511" s="4" t="s">
        <v>39</v>
      </c>
      <c r="H511" s="4"/>
      <c r="I511" s="4"/>
      <c r="J511" s="4" t="s">
        <v>40</v>
      </c>
      <c r="K511" s="4"/>
      <c r="L511" s="4" t="s">
        <v>38</v>
      </c>
      <c r="M511" s="4" t="s">
        <v>0</v>
      </c>
      <c r="N511" s="4" t="s">
        <v>40</v>
      </c>
      <c r="O511" s="4"/>
      <c r="P511" s="4"/>
      <c r="Q511" s="4" t="s">
        <v>40</v>
      </c>
      <c r="R511" s="4"/>
      <c r="S511" s="4"/>
      <c r="T511" s="5" t="s">
        <v>42</v>
      </c>
      <c r="U511" s="4" t="s">
        <v>43</v>
      </c>
      <c r="V511" s="4" t="s">
        <v>44</v>
      </c>
      <c r="W511" s="4" t="s">
        <v>45</v>
      </c>
      <c r="X511" s="4" t="s">
        <v>46</v>
      </c>
      <c r="Y511" s="4" t="s">
        <v>47</v>
      </c>
      <c r="Z511" s="4"/>
      <c r="AA511" s="4" t="s">
        <v>48</v>
      </c>
      <c r="AB511" s="4" t="s">
        <v>49</v>
      </c>
      <c r="AC511" s="4"/>
      <c r="AD511" s="4"/>
      <c r="AE511" s="4" t="s">
        <v>50</v>
      </c>
      <c r="AF511" s="4"/>
      <c r="AG511" s="4"/>
      <c r="AH511" s="1" t="s">
        <v>51</v>
      </c>
      <c r="AI511" s="1" t="s">
        <v>52</v>
      </c>
      <c r="AJ511" s="1" t="s">
        <v>53</v>
      </c>
      <c r="AK511" s="1"/>
      <c r="AL511" s="4" t="s">
        <v>0</v>
      </c>
      <c r="AM511" s="4"/>
      <c r="AN511" s="1"/>
      <c r="AO511" s="1"/>
      <c r="AP511" s="1"/>
      <c r="AQ511" s="1"/>
    </row>
  </sheetData>
  <sheetProtection selectLockedCells="1" selectUnlockedCells="1"/>
  <printOptions/>
  <pageMargins left="0.9840277777777777" right="0.7875" top="0.7875" bottom="0.7875" header="0.5118055555555555" footer="0.5118055555555555"/>
  <pageSetup firstPageNumber="1" useFirstPageNumber="1" horizontalDpi="300" verticalDpi="3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73"/>
  <sheetViews>
    <sheetView workbookViewId="0" topLeftCell="A1">
      <selection activeCell="M39" sqref="M39"/>
    </sheetView>
  </sheetViews>
  <sheetFormatPr defaultColWidth="12.57421875" defaultRowHeight="12.75"/>
  <cols>
    <col min="1" max="7" width="11.57421875" style="0" customWidth="1"/>
    <col min="8" max="9" width="10.7109375" style="0" customWidth="1"/>
    <col min="10" max="10" width="8.8515625" style="0" customWidth="1"/>
    <col min="11" max="20" width="11.57421875" style="0" customWidth="1"/>
    <col min="21" max="21" width="4.7109375" style="0" customWidth="1"/>
    <col min="22" max="16384" width="11.57421875" style="0" customWidth="1"/>
  </cols>
  <sheetData>
    <row r="2" spans="6:7" ht="12.75">
      <c r="F2" s="23"/>
      <c r="G2" s="23"/>
    </row>
    <row r="3" spans="1:21" ht="12.75">
      <c r="A3" s="26"/>
      <c r="B3" s="27" t="s">
        <v>69</v>
      </c>
      <c r="C3" s="27"/>
      <c r="D3" s="27"/>
      <c r="E3" s="27"/>
      <c r="F3" s="27"/>
      <c r="G3" s="28" t="s">
        <v>70</v>
      </c>
      <c r="H3" s="29"/>
      <c r="N3" s="28" t="s">
        <v>71</v>
      </c>
      <c r="O3" s="27"/>
      <c r="P3" s="27"/>
      <c r="Q3" s="27"/>
      <c r="R3" s="27"/>
      <c r="S3" s="30" t="s">
        <v>72</v>
      </c>
      <c r="T3" s="31"/>
      <c r="U3" s="32" t="s">
        <v>73</v>
      </c>
    </row>
    <row r="4" spans="1:22" ht="12.75">
      <c r="A4" s="33"/>
      <c r="B4" s="30"/>
      <c r="C4" s="30"/>
      <c r="D4" s="34" t="s">
        <v>74</v>
      </c>
      <c r="E4" s="27"/>
      <c r="F4" s="27"/>
      <c r="G4" s="35" t="s">
        <v>75</v>
      </c>
      <c r="H4" s="36" t="s">
        <v>76</v>
      </c>
      <c r="N4" s="37" t="s">
        <v>77</v>
      </c>
      <c r="O4" s="38" t="s">
        <v>78</v>
      </c>
      <c r="P4" s="38" t="s">
        <v>79</v>
      </c>
      <c r="Q4" s="38" t="s">
        <v>80</v>
      </c>
      <c r="R4" s="39" t="s">
        <v>81</v>
      </c>
      <c r="S4" s="38" t="s">
        <v>82</v>
      </c>
      <c r="T4" s="40" t="s">
        <v>83</v>
      </c>
      <c r="U4" s="41"/>
      <c r="V4" s="23" t="e">
        <f>T4-N4</f>
        <v>#VALUE!</v>
      </c>
    </row>
    <row r="5" spans="1:22" ht="12.75">
      <c r="A5" s="42" t="s">
        <v>73</v>
      </c>
      <c r="B5" s="43"/>
      <c r="C5" s="44" t="s">
        <v>79</v>
      </c>
      <c r="D5" s="44" t="s">
        <v>84</v>
      </c>
      <c r="E5" s="44"/>
      <c r="F5" s="44" t="s">
        <v>85</v>
      </c>
      <c r="G5" s="45"/>
      <c r="H5" s="46"/>
      <c r="N5" s="47">
        <f>O5+P5+Q5</f>
        <v>3547.46</v>
      </c>
      <c r="O5" s="48">
        <v>0</v>
      </c>
      <c r="P5" s="48">
        <v>0</v>
      </c>
      <c r="Q5" s="23">
        <v>3547.46</v>
      </c>
      <c r="R5" s="49">
        <v>73.8</v>
      </c>
      <c r="S5" s="50">
        <v>0</v>
      </c>
      <c r="T5" s="51">
        <f>S5*3901.4</f>
        <v>0</v>
      </c>
      <c r="U5" s="52" t="s">
        <v>86</v>
      </c>
      <c r="V5" s="23" t="e">
        <f>V4+T5-N5</f>
        <v>#VALUE!</v>
      </c>
    </row>
    <row r="6" spans="1:22" ht="12.75">
      <c r="A6" s="53" t="s">
        <v>87</v>
      </c>
      <c r="B6" s="54"/>
      <c r="C6" s="49">
        <v>4040.22</v>
      </c>
      <c r="D6" s="49"/>
      <c r="E6" s="49">
        <f>C6+D6</f>
        <v>4040.22</v>
      </c>
      <c r="F6" s="49"/>
      <c r="G6" s="55">
        <v>1.4</v>
      </c>
      <c r="H6" s="56">
        <f>G6*6756</f>
        <v>9458.4</v>
      </c>
      <c r="I6" s="23">
        <f>H6-E6</f>
        <v>5418.18</v>
      </c>
      <c r="J6" s="23"/>
      <c r="N6" s="57">
        <f>O6+P6+Q6</f>
        <v>5468.530000000001</v>
      </c>
      <c r="O6" s="49"/>
      <c r="P6" s="49">
        <v>2824.76</v>
      </c>
      <c r="Q6" s="58">
        <f>1939.53+704.24</f>
        <v>2643.77</v>
      </c>
      <c r="R6" s="49">
        <v>96.5</v>
      </c>
      <c r="S6" s="59">
        <v>2.6</v>
      </c>
      <c r="T6" s="59">
        <f>S6*3901.4</f>
        <v>10143.640000000001</v>
      </c>
      <c r="U6" s="32" t="s">
        <v>87</v>
      </c>
      <c r="V6" s="23" t="e">
        <f>V5+T6-N6</f>
        <v>#VALUE!</v>
      </c>
    </row>
    <row r="7" spans="1:22" ht="12.75">
      <c r="A7" s="53" t="s">
        <v>88</v>
      </c>
      <c r="B7" s="54"/>
      <c r="C7" s="49">
        <v>4040.22</v>
      </c>
      <c r="D7" s="49"/>
      <c r="E7" s="49">
        <f>C7+D7</f>
        <v>4040.22</v>
      </c>
      <c r="F7" s="49"/>
      <c r="G7" s="55">
        <v>1.4</v>
      </c>
      <c r="H7" s="56">
        <f>G7*6756</f>
        <v>9458.4</v>
      </c>
      <c r="I7" s="23">
        <f>I6+H7-E7</f>
        <v>10836.36</v>
      </c>
      <c r="J7" s="23"/>
      <c r="N7" s="60">
        <f>O7+P7+Q7</f>
        <v>5790.59</v>
      </c>
      <c r="O7" s="49"/>
      <c r="P7" s="49">
        <v>2824.76</v>
      </c>
      <c r="Q7" s="61">
        <f>2175.8+790.03</f>
        <v>2965.83</v>
      </c>
      <c r="R7" s="49">
        <v>61.7</v>
      </c>
      <c r="S7" s="54">
        <v>2.6</v>
      </c>
      <c r="T7" s="54">
        <f>S7*3901.4</f>
        <v>10143.640000000001</v>
      </c>
      <c r="U7" s="62" t="s">
        <v>88</v>
      </c>
      <c r="V7" s="23" t="e">
        <f>V6+T7-N7</f>
        <v>#VALUE!</v>
      </c>
    </row>
    <row r="8" spans="1:22" ht="12.75">
      <c r="A8" s="53" t="s">
        <v>89</v>
      </c>
      <c r="B8" s="54"/>
      <c r="C8" s="49">
        <v>4040.22</v>
      </c>
      <c r="D8" s="49">
        <v>2009.26</v>
      </c>
      <c r="E8" s="49">
        <f>C8+D8</f>
        <v>6049.48</v>
      </c>
      <c r="F8" s="49">
        <v>41.8</v>
      </c>
      <c r="G8" s="55">
        <v>1.4</v>
      </c>
      <c r="H8" s="56">
        <f>G8*6756</f>
        <v>9458.4</v>
      </c>
      <c r="I8" s="23">
        <f>I7+H8-E8</f>
        <v>14245.280000000002</v>
      </c>
      <c r="J8" s="23"/>
      <c r="N8" s="60">
        <f>O8+P8+Q8</f>
        <v>6804.83</v>
      </c>
      <c r="O8" s="49"/>
      <c r="P8" s="49">
        <v>2824.76</v>
      </c>
      <c r="Q8" s="49">
        <f>2919.87+1060.2</f>
        <v>3980.0699999999997</v>
      </c>
      <c r="R8" s="49">
        <v>82.8</v>
      </c>
      <c r="S8" s="54">
        <v>2.6</v>
      </c>
      <c r="T8" s="54">
        <f>S8*3901.4</f>
        <v>10143.640000000001</v>
      </c>
      <c r="U8" s="62" t="s">
        <v>89</v>
      </c>
      <c r="V8" s="23" t="e">
        <f>V7+T8-N8</f>
        <v>#VALUE!</v>
      </c>
    </row>
    <row r="9" spans="1:22" ht="12.75">
      <c r="A9" s="53" t="s">
        <v>90</v>
      </c>
      <c r="B9" s="54"/>
      <c r="C9" s="49">
        <v>4040.22</v>
      </c>
      <c r="D9" s="49">
        <v>6753.61</v>
      </c>
      <c r="E9" s="49">
        <f>C9+D9</f>
        <v>10793.83</v>
      </c>
      <c r="F9" s="49">
        <v>140.5</v>
      </c>
      <c r="G9" s="55">
        <v>2.1</v>
      </c>
      <c r="H9" s="56">
        <f>G9*6756</f>
        <v>14187.6</v>
      </c>
      <c r="I9" s="23">
        <f>I8+H9-E9</f>
        <v>17639.050000000003</v>
      </c>
      <c r="J9" s="23"/>
      <c r="N9" s="60">
        <f>O9+P9+Q9</f>
        <v>8578.55</v>
      </c>
      <c r="O9" s="49"/>
      <c r="P9" s="49">
        <v>2824.76</v>
      </c>
      <c r="Q9" s="49">
        <f>4221.11+1532.68</f>
        <v>5753.79</v>
      </c>
      <c r="R9" s="49">
        <v>119.7</v>
      </c>
      <c r="S9" s="54">
        <v>2.6</v>
      </c>
      <c r="T9" s="54">
        <f>S9*3901.4</f>
        <v>10143.640000000001</v>
      </c>
      <c r="U9" s="62" t="s">
        <v>90</v>
      </c>
      <c r="V9" s="23" t="e">
        <f>V8+T9-N9</f>
        <v>#VALUE!</v>
      </c>
    </row>
    <row r="10" spans="1:22" ht="12.75">
      <c r="A10" s="53" t="s">
        <v>91</v>
      </c>
      <c r="B10" s="54"/>
      <c r="C10" s="49">
        <v>4040.22</v>
      </c>
      <c r="D10" s="49"/>
      <c r="E10" s="49">
        <f>C10+D10</f>
        <v>4040.22</v>
      </c>
      <c r="F10" s="49"/>
      <c r="G10" s="55">
        <v>2.1</v>
      </c>
      <c r="H10" s="56">
        <f>G10*6756</f>
        <v>14187.6</v>
      </c>
      <c r="I10" s="23">
        <f>I9+H10-E10</f>
        <v>27786.43</v>
      </c>
      <c r="J10" s="23"/>
      <c r="N10" s="60">
        <f>O10+P10+Q10</f>
        <v>2824.76</v>
      </c>
      <c r="O10" s="49"/>
      <c r="P10" s="49">
        <v>2824.76</v>
      </c>
      <c r="Q10" s="49"/>
      <c r="R10" s="49"/>
      <c r="S10" s="54">
        <v>2.6</v>
      </c>
      <c r="T10" s="54">
        <f>S10*3901.4</f>
        <v>10143.640000000001</v>
      </c>
      <c r="U10" s="62" t="s">
        <v>91</v>
      </c>
      <c r="V10" s="23" t="e">
        <f>V9+T10-N10</f>
        <v>#VALUE!</v>
      </c>
    </row>
    <row r="11" spans="1:22" ht="12.75">
      <c r="A11" s="53" t="s">
        <v>92</v>
      </c>
      <c r="B11" s="54"/>
      <c r="C11" s="49"/>
      <c r="D11" s="49"/>
      <c r="E11" s="49">
        <f>C11+D11</f>
        <v>0</v>
      </c>
      <c r="F11" s="49"/>
      <c r="G11" s="55">
        <v>2.1</v>
      </c>
      <c r="H11" s="56">
        <f>G11*6756</f>
        <v>14187.6</v>
      </c>
      <c r="I11" s="23">
        <f>I10+H11-E11</f>
        <v>41974.03</v>
      </c>
      <c r="J11" s="23"/>
      <c r="N11" s="47">
        <f>O11+P11+Q11</f>
        <v>2824.76</v>
      </c>
      <c r="O11" s="49"/>
      <c r="P11" s="49">
        <v>2824.76</v>
      </c>
      <c r="Q11" s="48"/>
      <c r="R11" s="48"/>
      <c r="S11" s="54">
        <v>2.6</v>
      </c>
      <c r="T11" s="51">
        <f>S11*3901.4</f>
        <v>10143.640000000001</v>
      </c>
      <c r="U11" s="52" t="s">
        <v>92</v>
      </c>
      <c r="V11" s="23" t="e">
        <f>V10+T11-N11</f>
        <v>#VALUE!</v>
      </c>
    </row>
    <row r="12" spans="1:22" ht="12.75">
      <c r="A12" s="53" t="s">
        <v>93</v>
      </c>
      <c r="B12" s="54"/>
      <c r="C12" s="49"/>
      <c r="D12" s="63"/>
      <c r="E12" s="49">
        <f>C12+D12</f>
        <v>0</v>
      </c>
      <c r="F12" s="63"/>
      <c r="G12" s="55">
        <v>2.1</v>
      </c>
      <c r="H12" s="56">
        <f>G12*6756</f>
        <v>14187.6</v>
      </c>
      <c r="I12" s="23">
        <f>I11+H12-E12</f>
        <v>56161.63</v>
      </c>
      <c r="J12" s="23"/>
      <c r="L12">
        <v>427.4</v>
      </c>
      <c r="N12" s="64">
        <f>O12+P12+Q12</f>
        <v>2824.76</v>
      </c>
      <c r="O12" s="65"/>
      <c r="P12" s="66">
        <v>2824.76</v>
      </c>
      <c r="Q12" s="61"/>
      <c r="R12" s="65"/>
      <c r="S12" s="59">
        <v>2.6</v>
      </c>
      <c r="T12" s="59">
        <f>S12*3901.4</f>
        <v>10143.640000000001</v>
      </c>
      <c r="U12" s="67" t="s">
        <v>93</v>
      </c>
      <c r="V12" s="23" t="e">
        <f>V11+T12-N12</f>
        <v>#VALUE!</v>
      </c>
    </row>
    <row r="13" spans="1:22" ht="12.75">
      <c r="A13" s="53" t="s">
        <v>94</v>
      </c>
      <c r="B13" s="54"/>
      <c r="C13" s="49"/>
      <c r="D13" s="63"/>
      <c r="E13" s="49">
        <f>C13+D13</f>
        <v>0</v>
      </c>
      <c r="F13" s="63"/>
      <c r="G13" s="55">
        <v>2.1</v>
      </c>
      <c r="H13" s="56">
        <f>G13*6756</f>
        <v>14187.6</v>
      </c>
      <c r="I13" s="23">
        <f>I12+H13-E13</f>
        <v>70349.23</v>
      </c>
      <c r="J13" s="23"/>
      <c r="N13" s="68">
        <f>O13+P13+Q13</f>
        <v>2824.76</v>
      </c>
      <c r="O13" s="49"/>
      <c r="P13" s="69">
        <f>2032.53+792.23</f>
        <v>2824.76</v>
      </c>
      <c r="Q13" s="61"/>
      <c r="R13" s="49"/>
      <c r="S13" s="54">
        <v>2.6</v>
      </c>
      <c r="T13" s="54">
        <f>S13*3901.4</f>
        <v>10143.640000000001</v>
      </c>
      <c r="U13" s="70" t="s">
        <v>94</v>
      </c>
      <c r="V13" s="23" t="e">
        <f>V12+T13-N13</f>
        <v>#VALUE!</v>
      </c>
    </row>
    <row r="14" spans="1:22" ht="12.75">
      <c r="A14" s="53" t="s">
        <v>95</v>
      </c>
      <c r="B14" s="54"/>
      <c r="C14" s="49"/>
      <c r="D14" s="63"/>
      <c r="E14" s="49">
        <f>C14+D14</f>
        <v>0</v>
      </c>
      <c r="F14" s="63"/>
      <c r="G14" s="55">
        <v>2.1</v>
      </c>
      <c r="H14" s="56">
        <f>G14*6756</f>
        <v>14187.6</v>
      </c>
      <c r="I14" s="23">
        <f>I13+H14-E14</f>
        <v>84536.83</v>
      </c>
      <c r="J14" s="23"/>
      <c r="N14" s="68">
        <f>O14+P14+Q14</f>
        <v>2824.76</v>
      </c>
      <c r="O14" s="49"/>
      <c r="P14" s="69">
        <f>2032.53+792.23</f>
        <v>2824.76</v>
      </c>
      <c r="Q14" s="61"/>
      <c r="R14" s="49"/>
      <c r="S14" s="54">
        <v>2.6</v>
      </c>
      <c r="T14" s="54">
        <f>S14*3901.4</f>
        <v>10143.640000000001</v>
      </c>
      <c r="U14" s="70" t="s">
        <v>95</v>
      </c>
      <c r="V14" s="23" t="e">
        <f>V13+T14-N14</f>
        <v>#VALUE!</v>
      </c>
    </row>
    <row r="15" spans="1:22" ht="12.75">
      <c r="A15" s="53" t="s">
        <v>96</v>
      </c>
      <c r="B15" s="54"/>
      <c r="C15" s="49"/>
      <c r="D15" s="63"/>
      <c r="E15" s="49">
        <f>C15+D15</f>
        <v>0</v>
      </c>
      <c r="F15" s="63"/>
      <c r="G15" s="55">
        <v>2.1</v>
      </c>
      <c r="H15" s="56">
        <f>G15*6756</f>
        <v>14187.6</v>
      </c>
      <c r="I15" s="23">
        <f>I14+H15-E15</f>
        <v>98724.43000000001</v>
      </c>
      <c r="J15" s="23"/>
      <c r="N15" s="60">
        <f>O15+P15+Q15</f>
        <v>2824.76</v>
      </c>
      <c r="O15" s="49"/>
      <c r="P15" s="69">
        <f>2032.53+792.23</f>
        <v>2824.76</v>
      </c>
      <c r="Q15" s="61"/>
      <c r="R15" s="49"/>
      <c r="S15" s="54">
        <v>2.6</v>
      </c>
      <c r="T15" s="54">
        <f>S15*3901.4</f>
        <v>10143.640000000001</v>
      </c>
      <c r="U15" s="70" t="s">
        <v>96</v>
      </c>
      <c r="V15" s="23" t="e">
        <f>V14+T15-N15</f>
        <v>#VALUE!</v>
      </c>
    </row>
    <row r="16" spans="1:22" ht="12.75">
      <c r="A16" s="53" t="s">
        <v>97</v>
      </c>
      <c r="B16" s="54"/>
      <c r="C16" s="49"/>
      <c r="D16" s="49"/>
      <c r="E16" s="49">
        <f>C16+D16</f>
        <v>0</v>
      </c>
      <c r="F16" s="49"/>
      <c r="G16" s="55">
        <v>1.4</v>
      </c>
      <c r="H16" s="56">
        <f>G16*6756</f>
        <v>9458.4</v>
      </c>
      <c r="I16" s="23">
        <f>I15+H16-E16</f>
        <v>108182.83</v>
      </c>
      <c r="J16" s="23"/>
      <c r="N16" s="60">
        <f>O16+P16+Q16</f>
        <v>2824.76</v>
      </c>
      <c r="O16" s="49"/>
      <c r="P16" s="69">
        <f>2032.53+792.23</f>
        <v>2824.76</v>
      </c>
      <c r="Q16" s="23"/>
      <c r="R16" s="49"/>
      <c r="S16" s="54">
        <v>2.6</v>
      </c>
      <c r="T16" s="54">
        <f>S16*3901.4</f>
        <v>10143.640000000001</v>
      </c>
      <c r="U16" s="70" t="s">
        <v>97</v>
      </c>
      <c r="V16" s="23" t="e">
        <f>V15+T16-N16</f>
        <v>#VALUE!</v>
      </c>
    </row>
    <row r="17" spans="1:22" ht="12.75">
      <c r="A17" s="53" t="s">
        <v>86</v>
      </c>
      <c r="B17" s="54"/>
      <c r="C17" s="49"/>
      <c r="D17" s="71"/>
      <c r="E17" s="49">
        <f>C17+D17</f>
        <v>0</v>
      </c>
      <c r="F17" s="54"/>
      <c r="G17" s="55">
        <v>1.4</v>
      </c>
      <c r="H17" s="56">
        <f>G17*6756</f>
        <v>9458.4</v>
      </c>
      <c r="I17" s="23">
        <f>I16+H17-E17</f>
        <v>117641.23</v>
      </c>
      <c r="J17" s="23"/>
      <c r="N17" s="72">
        <f>O17+P17+Q17</f>
        <v>2824.76</v>
      </c>
      <c r="O17" s="49"/>
      <c r="P17" s="69">
        <f>2032.53+792.23</f>
        <v>2824.76</v>
      </c>
      <c r="Q17" s="23"/>
      <c r="R17" s="71"/>
      <c r="S17" s="54">
        <v>2.6</v>
      </c>
      <c r="T17" s="54">
        <f>S17*3901.4</f>
        <v>10143.640000000001</v>
      </c>
      <c r="U17" s="52" t="s">
        <v>86</v>
      </c>
      <c r="V17" s="23"/>
    </row>
    <row r="18" spans="1:21" ht="12.75">
      <c r="A18" s="73" t="s">
        <v>98</v>
      </c>
      <c r="B18" s="74">
        <f>SUM(B6:B17)</f>
        <v>0</v>
      </c>
      <c r="C18" s="59">
        <f>SUM(C6:C17)</f>
        <v>20201.1</v>
      </c>
      <c r="D18" s="59">
        <f>SUM(D6:D17)</f>
        <v>8762.869999999999</v>
      </c>
      <c r="E18" s="59">
        <f>SUM(E6:E17)</f>
        <v>28963.97</v>
      </c>
      <c r="F18" s="59">
        <f>SUM(F6:F17)</f>
        <v>182.3</v>
      </c>
      <c r="G18" s="75">
        <f>SUM(G6:G17)</f>
        <v>21.699999999999996</v>
      </c>
      <c r="H18" s="75">
        <f>SUM(H6:H17)</f>
        <v>146605.2</v>
      </c>
      <c r="N18" s="76">
        <f>SUM(N4:N17)</f>
        <v>52788.040000000015</v>
      </c>
      <c r="O18" s="77">
        <f>SUM(O4:O17)</f>
        <v>0</v>
      </c>
      <c r="P18" s="77">
        <f>SUM(P4:P17)</f>
        <v>33897.12000000001</v>
      </c>
      <c r="Q18" s="77">
        <f>SUM(Q4:Q17)</f>
        <v>18890.92</v>
      </c>
      <c r="R18" s="77">
        <f>SUM(R4:R17)</f>
        <v>434.5</v>
      </c>
      <c r="S18" s="77">
        <f>SUM(S5:S17)</f>
        <v>31.200000000000006</v>
      </c>
      <c r="T18" s="77">
        <f>SUM(T4:T17)</f>
        <v>121723.68000000001</v>
      </c>
      <c r="U18" s="78"/>
    </row>
    <row r="19" spans="1:17" ht="12.75">
      <c r="A19" s="27"/>
      <c r="B19" s="27">
        <f>B18/6756/12</f>
        <v>0</v>
      </c>
      <c r="C19" s="27">
        <f>C18/E18</f>
        <v>0.6974561843559428</v>
      </c>
      <c r="D19" s="27">
        <f>D18/E18</f>
        <v>0.302543815644057</v>
      </c>
      <c r="E19" s="27">
        <v>176.85</v>
      </c>
      <c r="F19" s="79">
        <f>F18/6756/12</f>
        <v>0.002248618511940004</v>
      </c>
      <c r="G19" s="27"/>
      <c r="N19" s="23">
        <f>SUM(N5:N16)/3901.4/12</f>
        <v>1.0672083525572018</v>
      </c>
      <c r="Q19" s="23">
        <f>SUM(P18:Q18)</f>
        <v>52788.04000000001</v>
      </c>
    </row>
    <row r="20" spans="1:17" ht="12.75">
      <c r="A20" t="s">
        <v>99</v>
      </c>
      <c r="B20" s="80"/>
      <c r="C20" s="80"/>
      <c r="D20" s="80"/>
      <c r="E20" s="81">
        <v>-2781.7</v>
      </c>
      <c r="F20" s="82"/>
      <c r="G20" s="80"/>
      <c r="N20" s="23"/>
      <c r="O20" s="23">
        <f>O18/77</f>
        <v>0</v>
      </c>
      <c r="P20" s="83">
        <f>P18/Q19</f>
        <v>0.642136362706401</v>
      </c>
      <c r="Q20" s="83">
        <f>Q18/Q19</f>
        <v>0.357863637293599</v>
      </c>
    </row>
    <row r="21" spans="1:17" ht="12.75">
      <c r="A21" t="s">
        <v>100</v>
      </c>
      <c r="B21" s="84"/>
      <c r="C21" s="84"/>
      <c r="D21" s="84"/>
      <c r="E21" s="85">
        <v>-1251.8</v>
      </c>
      <c r="F21" s="86"/>
      <c r="G21" s="84"/>
      <c r="H21" s="84"/>
      <c r="I21" s="84"/>
      <c r="J21" s="84"/>
      <c r="K21" s="84"/>
      <c r="L21" s="84"/>
      <c r="M21" s="84"/>
      <c r="N21" s="23"/>
      <c r="O21" s="23"/>
      <c r="P21" s="83"/>
      <c r="Q21" s="83"/>
    </row>
    <row r="22" spans="3:17" ht="12.75">
      <c r="C22" s="80"/>
      <c r="D22" s="80"/>
      <c r="E22" s="81">
        <f>SUM(E18:E21)</f>
        <v>25107.32</v>
      </c>
      <c r="F22" s="82"/>
      <c r="G22" s="80"/>
      <c r="O22" s="23"/>
      <c r="P22" s="83"/>
      <c r="Q22" s="83"/>
    </row>
    <row r="23" spans="2:17" ht="12.75">
      <c r="B23" s="80"/>
      <c r="C23" s="80"/>
      <c r="D23" s="80"/>
      <c r="E23" s="80"/>
      <c r="F23" s="87"/>
      <c r="G23" s="80"/>
      <c r="K23" s="87" t="s">
        <v>101</v>
      </c>
      <c r="O23" s="23"/>
      <c r="P23" s="83"/>
      <c r="Q23" s="87" t="s">
        <v>102</v>
      </c>
    </row>
    <row r="24" spans="1:20" ht="12.75">
      <c r="A24" s="26">
        <v>2013</v>
      </c>
      <c r="B24" s="27" t="s">
        <v>103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36" t="s">
        <v>104</v>
      </c>
      <c r="N24" s="28" t="s">
        <v>105</v>
      </c>
      <c r="O24" s="27"/>
      <c r="P24" s="27"/>
      <c r="Q24" s="27"/>
      <c r="R24" s="27"/>
      <c r="S24" s="36" t="s">
        <v>106</v>
      </c>
      <c r="T24" s="84"/>
    </row>
    <row r="25" spans="1:20" ht="12.75">
      <c r="A25" s="33"/>
      <c r="B25" s="30"/>
      <c r="C25" s="30"/>
      <c r="D25" s="34" t="s">
        <v>74</v>
      </c>
      <c r="E25" s="27"/>
      <c r="F25" s="27"/>
      <c r="G25" s="88"/>
      <c r="H25" s="27"/>
      <c r="I25" s="27" t="s">
        <v>107</v>
      </c>
      <c r="J25" s="27"/>
      <c r="K25" s="27"/>
      <c r="L25" s="27"/>
      <c r="M25" s="89" t="s">
        <v>108</v>
      </c>
      <c r="N25" s="90"/>
      <c r="O25" s="30" t="s">
        <v>78</v>
      </c>
      <c r="P25" s="30"/>
      <c r="Q25" s="30"/>
      <c r="R25" s="30"/>
      <c r="S25" s="89" t="s">
        <v>109</v>
      </c>
      <c r="T25" s="84"/>
    </row>
    <row r="26" spans="1:20" ht="12.75">
      <c r="A26" s="42" t="s">
        <v>73</v>
      </c>
      <c r="B26" s="43" t="s">
        <v>110</v>
      </c>
      <c r="C26" s="44" t="s">
        <v>79</v>
      </c>
      <c r="D26" s="44" t="s">
        <v>84</v>
      </c>
      <c r="E26" s="44" t="s">
        <v>111</v>
      </c>
      <c r="F26" s="44" t="s">
        <v>85</v>
      </c>
      <c r="G26" s="55"/>
      <c r="H26" s="91" t="s">
        <v>79</v>
      </c>
      <c r="I26" s="44" t="s">
        <v>80</v>
      </c>
      <c r="J26" s="44" t="s">
        <v>112</v>
      </c>
      <c r="K26" s="44" t="s">
        <v>113</v>
      </c>
      <c r="L26" s="92" t="s">
        <v>114</v>
      </c>
      <c r="M26" s="46" t="s">
        <v>39</v>
      </c>
      <c r="N26" s="93" t="s">
        <v>77</v>
      </c>
      <c r="O26" s="94" t="s">
        <v>115</v>
      </c>
      <c r="P26" s="95" t="s">
        <v>79</v>
      </c>
      <c r="Q26" s="95" t="s">
        <v>80</v>
      </c>
      <c r="R26" s="95" t="s">
        <v>81</v>
      </c>
      <c r="S26" s="96" t="s">
        <v>39</v>
      </c>
      <c r="T26" s="97"/>
    </row>
    <row r="27" spans="1:21" ht="12.75">
      <c r="A27" s="98" t="s">
        <v>93</v>
      </c>
      <c r="B27" s="59">
        <f>E27+H27+I27+N27</f>
        <v>44222.21000000001</v>
      </c>
      <c r="C27" s="49">
        <v>4040.22</v>
      </c>
      <c r="D27" s="63">
        <v>18198.7</v>
      </c>
      <c r="E27" s="49">
        <f>C27+D27</f>
        <v>22238.920000000002</v>
      </c>
      <c r="F27" s="63">
        <v>378.6</v>
      </c>
      <c r="G27" s="99" t="s">
        <v>0</v>
      </c>
      <c r="H27" s="64">
        <v>1050</v>
      </c>
      <c r="I27" s="61">
        <v>5047.18</v>
      </c>
      <c r="J27" s="65">
        <v>105</v>
      </c>
      <c r="K27" s="100">
        <v>332</v>
      </c>
      <c r="L27" s="65">
        <f>I27/K27</f>
        <v>15.202349397590362</v>
      </c>
      <c r="M27" s="101">
        <v>847</v>
      </c>
      <c r="N27" s="64">
        <f>O27+P27+Q27</f>
        <v>15886.110000000002</v>
      </c>
      <c r="O27" s="65">
        <v>693.36</v>
      </c>
      <c r="P27" s="65">
        <f>2032.53+792.23</f>
        <v>2824.76</v>
      </c>
      <c r="Q27" s="61">
        <f>9073.45+3294.54</f>
        <v>12367.990000000002</v>
      </c>
      <c r="R27" s="65">
        <v>257.3</v>
      </c>
      <c r="S27" s="101">
        <v>533</v>
      </c>
      <c r="T27" s="102"/>
      <c r="U27" s="103" t="s">
        <v>0</v>
      </c>
    </row>
    <row r="28" spans="1:20" ht="12.75">
      <c r="A28" s="53" t="s">
        <v>94</v>
      </c>
      <c r="B28" s="54">
        <f>E28+H28+I28+N28</f>
        <v>38204.06</v>
      </c>
      <c r="C28" s="49">
        <v>4040.22</v>
      </c>
      <c r="D28" s="63">
        <v>14281.13</v>
      </c>
      <c r="E28" s="49">
        <f>C28+D28</f>
        <v>18321.35</v>
      </c>
      <c r="F28" s="63">
        <v>297.1</v>
      </c>
      <c r="G28" s="55"/>
      <c r="H28" s="68">
        <v>1050</v>
      </c>
      <c r="I28" s="61">
        <v>5047.18</v>
      </c>
      <c r="J28" s="49">
        <v>105</v>
      </c>
      <c r="K28" s="100">
        <v>350</v>
      </c>
      <c r="L28" s="49">
        <f>I28/K28</f>
        <v>14.420514285714287</v>
      </c>
      <c r="M28" s="104">
        <v>832</v>
      </c>
      <c r="N28" s="68">
        <f>O28+P28+Q28</f>
        <v>13785.53</v>
      </c>
      <c r="O28" s="49">
        <v>693.36</v>
      </c>
      <c r="P28" s="49">
        <v>2824.76</v>
      </c>
      <c r="Q28" s="61">
        <f>7532.41+2735</f>
        <v>10267.41</v>
      </c>
      <c r="R28" s="49">
        <v>213.6</v>
      </c>
      <c r="S28" s="104">
        <v>528</v>
      </c>
      <c r="T28" s="105"/>
    </row>
    <row r="29" spans="1:20" ht="12.75">
      <c r="A29" s="53" t="s">
        <v>95</v>
      </c>
      <c r="B29" s="54">
        <f>E29+H29+I29+N29</f>
        <v>42972.44</v>
      </c>
      <c r="C29" s="49">
        <v>4040.22</v>
      </c>
      <c r="D29" s="63">
        <v>16593.2</v>
      </c>
      <c r="E29" s="49">
        <f>C29+D29</f>
        <v>20633.420000000002</v>
      </c>
      <c r="F29" s="63">
        <v>345.2</v>
      </c>
      <c r="G29" s="55"/>
      <c r="H29" s="68">
        <v>1050</v>
      </c>
      <c r="I29" s="61">
        <v>5768.21</v>
      </c>
      <c r="J29" s="49">
        <v>120</v>
      </c>
      <c r="K29" s="100">
        <v>365</v>
      </c>
      <c r="L29" s="49">
        <f>I29/K29</f>
        <v>15.80331506849315</v>
      </c>
      <c r="M29" s="104">
        <v>868</v>
      </c>
      <c r="N29" s="68">
        <f>O29+P29+Q29</f>
        <v>15520.810000000001</v>
      </c>
      <c r="O29" s="49">
        <v>693.36</v>
      </c>
      <c r="P29" s="49">
        <v>2824.76</v>
      </c>
      <c r="Q29" s="61">
        <v>12002.69</v>
      </c>
      <c r="R29" s="49">
        <v>249.7</v>
      </c>
      <c r="S29" s="104">
        <v>499</v>
      </c>
      <c r="T29" s="105"/>
    </row>
    <row r="30" spans="1:20" ht="12.75">
      <c r="A30" s="53" t="s">
        <v>96</v>
      </c>
      <c r="B30" s="54">
        <f>E30+H30+I30+N30</f>
        <v>27325.600000000002</v>
      </c>
      <c r="C30" s="49">
        <v>4040.22</v>
      </c>
      <c r="D30" s="63">
        <v>6479.63</v>
      </c>
      <c r="E30" s="49">
        <f>C30+D30</f>
        <v>10519.85</v>
      </c>
      <c r="F30" s="63">
        <v>134.8</v>
      </c>
      <c r="G30" s="55"/>
      <c r="H30" s="68">
        <v>1050</v>
      </c>
      <c r="I30" s="61">
        <v>6008.55</v>
      </c>
      <c r="J30" s="49">
        <v>125</v>
      </c>
      <c r="K30" s="100">
        <v>348</v>
      </c>
      <c r="L30" s="49">
        <f>I30/K30</f>
        <v>17.26594827586207</v>
      </c>
      <c r="M30" s="104">
        <v>884</v>
      </c>
      <c r="N30" s="68">
        <f>O30+P30+Q30</f>
        <v>9747.2</v>
      </c>
      <c r="O30" s="49">
        <v>346.68</v>
      </c>
      <c r="P30" s="49">
        <v>2824.76</v>
      </c>
      <c r="Q30" s="61">
        <v>6575.76</v>
      </c>
      <c r="R30" s="49">
        <v>136.8</v>
      </c>
      <c r="S30" s="104">
        <v>444</v>
      </c>
      <c r="T30" s="105"/>
    </row>
    <row r="31" spans="1:20" ht="12.75">
      <c r="A31" s="53" t="s">
        <v>97</v>
      </c>
      <c r="B31" s="54">
        <f>E31+H31+I31+N31</f>
        <v>20369.5</v>
      </c>
      <c r="C31" s="49">
        <v>4040.22</v>
      </c>
      <c r="D31" s="49">
        <v>2052.52</v>
      </c>
      <c r="E31" s="49">
        <f>C31+D31</f>
        <v>6092.74</v>
      </c>
      <c r="F31" s="49">
        <v>42.7</v>
      </c>
      <c r="G31" s="55"/>
      <c r="H31" s="68">
        <v>1050</v>
      </c>
      <c r="I31" s="61">
        <v>6248.89</v>
      </c>
      <c r="J31" s="49">
        <v>130</v>
      </c>
      <c r="K31" s="100">
        <v>370</v>
      </c>
      <c r="L31" s="49">
        <f>I31/K31</f>
        <v>16.88889189189189</v>
      </c>
      <c r="M31" s="104">
        <v>959</v>
      </c>
      <c r="N31" s="68">
        <f>O31+P31+Q31</f>
        <v>6977.870000000001</v>
      </c>
      <c r="O31" s="49"/>
      <c r="P31" s="49">
        <v>2824.76</v>
      </c>
      <c r="Q31" s="23">
        <f>3046.82+1106.29</f>
        <v>4153.110000000001</v>
      </c>
      <c r="R31" s="49">
        <v>86.4</v>
      </c>
      <c r="S31" s="104">
        <v>535</v>
      </c>
      <c r="T31" s="105"/>
    </row>
    <row r="32" spans="1:20" ht="12.75">
      <c r="A32" s="53" t="s">
        <v>86</v>
      </c>
      <c r="B32" s="54">
        <f>E32+H32+I32+N32</f>
        <v>17687.31</v>
      </c>
      <c r="C32" s="49">
        <v>4040.22</v>
      </c>
      <c r="D32" s="49"/>
      <c r="E32" s="49">
        <f>C32+D32</f>
        <v>4040.22</v>
      </c>
      <c r="F32" s="49">
        <v>0</v>
      </c>
      <c r="G32" s="55"/>
      <c r="H32" s="68">
        <v>1050</v>
      </c>
      <c r="I32" s="61">
        <v>6224.87</v>
      </c>
      <c r="J32" s="49">
        <v>129.5</v>
      </c>
      <c r="K32" s="100">
        <v>375</v>
      </c>
      <c r="L32" s="49">
        <f>I32/K32</f>
        <v>16.599653333333332</v>
      </c>
      <c r="M32" s="104">
        <v>928</v>
      </c>
      <c r="N32" s="68">
        <f>O32+P32+Q32</f>
        <v>6372.22</v>
      </c>
      <c r="O32" s="49"/>
      <c r="P32" s="49">
        <v>2824.76</v>
      </c>
      <c r="Q32" s="23">
        <v>3547.46</v>
      </c>
      <c r="R32" s="49">
        <v>73.8</v>
      </c>
      <c r="S32" s="104">
        <v>490</v>
      </c>
      <c r="T32" s="105"/>
    </row>
    <row r="33" spans="1:20" ht="12.75">
      <c r="A33" s="53" t="s">
        <v>87</v>
      </c>
      <c r="B33" s="54">
        <f>E33+H33+I33+N33</f>
        <v>15197.359999999999</v>
      </c>
      <c r="C33" s="49">
        <v>4040.22</v>
      </c>
      <c r="D33" s="49"/>
      <c r="E33" s="49">
        <f>C33+D33</f>
        <v>4040.22</v>
      </c>
      <c r="F33" s="49"/>
      <c r="G33" s="55"/>
      <c r="H33" s="68">
        <v>1050</v>
      </c>
      <c r="I33" s="49">
        <f>3402.99+1235.62</f>
        <v>4638.61</v>
      </c>
      <c r="J33" s="49">
        <v>96.5</v>
      </c>
      <c r="K33" s="100">
        <v>315</v>
      </c>
      <c r="L33" s="49">
        <f>I33/K33</f>
        <v>14.72574603174603</v>
      </c>
      <c r="M33" s="104">
        <v>846</v>
      </c>
      <c r="N33" s="68">
        <f>O33+P33+Q33</f>
        <v>5468.530000000001</v>
      </c>
      <c r="O33" s="49"/>
      <c r="P33" s="49">
        <v>2824.76</v>
      </c>
      <c r="Q33" s="58">
        <f>1939.53+704.24</f>
        <v>2643.77</v>
      </c>
      <c r="R33" s="49">
        <v>96.5</v>
      </c>
      <c r="S33" s="104">
        <v>513</v>
      </c>
      <c r="T33" s="105"/>
    </row>
    <row r="34" spans="1:20" ht="12.75">
      <c r="A34" s="53" t="s">
        <v>88</v>
      </c>
      <c r="B34" s="54">
        <f>E34+H34+I34+N34</f>
        <v>18595.8</v>
      </c>
      <c r="C34" s="49">
        <v>4040.22</v>
      </c>
      <c r="D34" s="49"/>
      <c r="E34" s="49">
        <f>C34+D34</f>
        <v>4040.22</v>
      </c>
      <c r="F34" s="49"/>
      <c r="G34" s="55"/>
      <c r="H34" s="68">
        <v>1050</v>
      </c>
      <c r="I34" s="49">
        <f>5659.89+2055.1</f>
        <v>7714.99</v>
      </c>
      <c r="J34" s="49">
        <v>160.5</v>
      </c>
      <c r="K34" s="100">
        <v>251</v>
      </c>
      <c r="L34" s="49">
        <f>I34/K34</f>
        <v>30.737011952191235</v>
      </c>
      <c r="M34" s="104">
        <v>768</v>
      </c>
      <c r="N34" s="68">
        <f>O34+P34+Q34</f>
        <v>5790.59</v>
      </c>
      <c r="O34" s="49"/>
      <c r="P34" s="49">
        <v>2824.76</v>
      </c>
      <c r="Q34" s="61">
        <f>2175.8+790.03</f>
        <v>2965.83</v>
      </c>
      <c r="R34" s="49">
        <v>61.7</v>
      </c>
      <c r="S34" s="104">
        <v>497</v>
      </c>
      <c r="T34" s="105"/>
    </row>
    <row r="35" spans="1:20" ht="12.75">
      <c r="A35" s="53" t="s">
        <v>89</v>
      </c>
      <c r="B35" s="54">
        <f>E35+H35+I35+N35</f>
        <v>19672.53</v>
      </c>
      <c r="C35" s="49">
        <v>4040.22</v>
      </c>
      <c r="D35" s="49">
        <v>2009.26</v>
      </c>
      <c r="E35" s="49">
        <f>C35+D35</f>
        <v>6049.48</v>
      </c>
      <c r="F35" s="49">
        <v>41.8</v>
      </c>
      <c r="G35" s="55"/>
      <c r="H35" s="68">
        <v>1050</v>
      </c>
      <c r="I35" s="61">
        <v>5768.22</v>
      </c>
      <c r="J35" s="49">
        <v>120</v>
      </c>
      <c r="K35" s="100">
        <v>303</v>
      </c>
      <c r="L35" s="49">
        <f>I35/K35</f>
        <v>19.037029702970298</v>
      </c>
      <c r="M35" s="104">
        <v>835</v>
      </c>
      <c r="N35" s="68">
        <f>O35+P35+Q35</f>
        <v>6804.83</v>
      </c>
      <c r="O35" s="49"/>
      <c r="P35" s="49">
        <v>2824.76</v>
      </c>
      <c r="Q35" s="49">
        <f>2919.87+1060.2</f>
        <v>3980.0699999999997</v>
      </c>
      <c r="R35" s="49">
        <v>82.8</v>
      </c>
      <c r="S35" s="104">
        <v>427</v>
      </c>
      <c r="T35" s="105"/>
    </row>
    <row r="36" spans="1:20" ht="12.75">
      <c r="A36" s="53" t="s">
        <v>90</v>
      </c>
      <c r="B36" s="54">
        <f>E36+H36+I36+N36</f>
        <v>25709.91</v>
      </c>
      <c r="C36" s="49">
        <v>4040.22</v>
      </c>
      <c r="D36" s="49">
        <v>6753.61</v>
      </c>
      <c r="E36" s="49">
        <f>C36+D36</f>
        <v>10793.83</v>
      </c>
      <c r="F36" s="49">
        <v>140.5</v>
      </c>
      <c r="G36" s="55"/>
      <c r="H36" s="68">
        <v>1050</v>
      </c>
      <c r="I36" s="49">
        <v>5287.53</v>
      </c>
      <c r="J36" s="49">
        <v>110</v>
      </c>
      <c r="K36" s="100">
        <v>323</v>
      </c>
      <c r="L36" s="49">
        <f>I36/K36</f>
        <v>16.370061919504643</v>
      </c>
      <c r="M36" s="104">
        <v>850</v>
      </c>
      <c r="N36" s="68">
        <f>O36+P36+Q36</f>
        <v>8578.55</v>
      </c>
      <c r="O36" s="49"/>
      <c r="P36" s="49">
        <v>2824.76</v>
      </c>
      <c r="Q36" s="49">
        <f>4221.11+1532.68</f>
        <v>5753.79</v>
      </c>
      <c r="R36" s="49">
        <v>119.7</v>
      </c>
      <c r="S36" s="104">
        <v>481</v>
      </c>
      <c r="T36" s="105"/>
    </row>
    <row r="37" spans="1:20" ht="12.75">
      <c r="A37" s="53" t="s">
        <v>91</v>
      </c>
      <c r="B37" s="54">
        <f>E37+H37+I37+N37</f>
        <v>28521.91</v>
      </c>
      <c r="C37" s="49">
        <v>4040.22</v>
      </c>
      <c r="D37" s="49">
        <v>8210.08</v>
      </c>
      <c r="E37" s="49">
        <f>C37+D37</f>
        <v>12250.3</v>
      </c>
      <c r="F37" s="49">
        <v>170.8</v>
      </c>
      <c r="G37" s="55"/>
      <c r="H37" s="68">
        <v>1050</v>
      </c>
      <c r="I37" s="49">
        <v>5287.53</v>
      </c>
      <c r="J37" s="49">
        <v>110</v>
      </c>
      <c r="K37" s="106">
        <v>298</v>
      </c>
      <c r="L37" s="49">
        <f>I37/K37</f>
        <v>17.743389261744966</v>
      </c>
      <c r="M37" s="104">
        <v>841</v>
      </c>
      <c r="N37" s="68">
        <f>O37+P37+Q37</f>
        <v>9934.080000000002</v>
      </c>
      <c r="O37" s="49"/>
      <c r="P37" s="49">
        <v>2824.76</v>
      </c>
      <c r="Q37" s="49">
        <f>5215.56+1893.76</f>
        <v>7109.320000000001</v>
      </c>
      <c r="R37" s="49">
        <v>147.9</v>
      </c>
      <c r="S37" s="104">
        <v>495</v>
      </c>
      <c r="T37" s="105"/>
    </row>
    <row r="38" spans="1:20" ht="12.75">
      <c r="A38" s="53" t="s">
        <v>92</v>
      </c>
      <c r="B38" s="51">
        <f>E38+H38+I38+N38</f>
        <v>7679.52</v>
      </c>
      <c r="C38" s="49">
        <v>3888.79</v>
      </c>
      <c r="D38" s="49"/>
      <c r="E38" s="49">
        <f>C38+D38</f>
        <v>3888.79</v>
      </c>
      <c r="F38" s="49"/>
      <c r="G38" s="55"/>
      <c r="H38" s="68">
        <v>1050</v>
      </c>
      <c r="I38" s="49"/>
      <c r="J38" s="49"/>
      <c r="K38" s="106"/>
      <c r="L38" s="107"/>
      <c r="M38" s="104">
        <v>792</v>
      </c>
      <c r="N38" s="68">
        <f>O38+P38+Q38</f>
        <v>2740.73</v>
      </c>
      <c r="O38" s="49"/>
      <c r="P38" s="49">
        <v>2740.73</v>
      </c>
      <c r="Q38" s="49"/>
      <c r="R38" s="49"/>
      <c r="S38" s="104">
        <v>483</v>
      </c>
      <c r="T38" s="105"/>
    </row>
    <row r="39" spans="1:20" ht="12.75">
      <c r="A39" s="73" t="s">
        <v>98</v>
      </c>
      <c r="B39" s="74">
        <f>SUM(B27:B38)</f>
        <v>306158.14999999997</v>
      </c>
      <c r="C39" s="59">
        <f>SUM(C27:C38)</f>
        <v>48331.21000000001</v>
      </c>
      <c r="D39" s="59">
        <f>SUM(D27:D38)</f>
        <v>74578.13</v>
      </c>
      <c r="E39" s="77">
        <f>SUM(E27:E38)</f>
        <v>122909.34</v>
      </c>
      <c r="F39" s="77">
        <f>SUM(F27:F38)</f>
        <v>1551.5</v>
      </c>
      <c r="G39" s="75">
        <f>SUM(G27:G38)</f>
        <v>0</v>
      </c>
      <c r="H39" s="59">
        <f>SUM(H27:H38)</f>
        <v>12600</v>
      </c>
      <c r="I39" s="59">
        <f>SUM(I27:I38)</f>
        <v>63041.759999999995</v>
      </c>
      <c r="J39" s="108">
        <f>SUM(J27:J38)</f>
        <v>1311.5</v>
      </c>
      <c r="K39" s="108">
        <f>SUM(K27:K37)</f>
        <v>3630</v>
      </c>
      <c r="L39" s="108">
        <f>I39/K39</f>
        <v>17.36687603305785</v>
      </c>
      <c r="M39" s="108">
        <f>SUM(M27:M38)</f>
        <v>10250</v>
      </c>
      <c r="N39" s="77">
        <f>SUM(N27:N38)</f>
        <v>107607.05000000002</v>
      </c>
      <c r="O39" s="77">
        <f>SUM(O27:O38)</f>
        <v>2426.76</v>
      </c>
      <c r="P39" s="77">
        <f>SUM(P27:P38)</f>
        <v>33813.090000000004</v>
      </c>
      <c r="Q39" s="77">
        <f>SUM(Q27:Q38)</f>
        <v>71367.2</v>
      </c>
      <c r="R39" s="77">
        <f>SUM(R27:R38)</f>
        <v>1526.1999999999998</v>
      </c>
      <c r="S39" s="109">
        <f>SUM(S27:S38)</f>
        <v>5925</v>
      </c>
      <c r="T39" s="105"/>
    </row>
    <row r="40" spans="1:14" ht="12.75">
      <c r="A40" s="27"/>
      <c r="B40" s="27" t="s">
        <v>0</v>
      </c>
      <c r="C40" s="27" t="s">
        <v>116</v>
      </c>
      <c r="D40" s="27"/>
      <c r="E40" s="8">
        <v>7198.48</v>
      </c>
      <c r="F40" s="8"/>
      <c r="G40" s="27" t="s">
        <v>0</v>
      </c>
      <c r="H40" s="27" t="s">
        <v>117</v>
      </c>
      <c r="I40" s="110"/>
      <c r="J40" s="110"/>
      <c r="K40" s="27"/>
      <c r="L40" s="27"/>
      <c r="M40" s="27"/>
      <c r="N40">
        <v>4082.72</v>
      </c>
    </row>
    <row r="41" spans="1:18" ht="12.75">
      <c r="A41" s="84"/>
      <c r="B41" s="84"/>
      <c r="C41" s="84" t="s">
        <v>118</v>
      </c>
      <c r="D41" s="84"/>
      <c r="E41" s="8">
        <v>-5766.76</v>
      </c>
      <c r="F41" s="86"/>
      <c r="G41" s="84"/>
      <c r="H41" s="84"/>
      <c r="I41" s="84"/>
      <c r="J41" s="84"/>
      <c r="K41" s="84"/>
      <c r="L41" s="84"/>
      <c r="M41" s="84"/>
      <c r="N41" t="s">
        <v>0</v>
      </c>
      <c r="R41" t="s">
        <v>0</v>
      </c>
    </row>
    <row r="42" spans="1:17" ht="12.75">
      <c r="A42" s="111"/>
      <c r="B42" s="80"/>
      <c r="C42" s="80"/>
      <c r="D42" s="80"/>
      <c r="E42" s="112">
        <f>SUM(E39:E41)</f>
        <v>124341.06</v>
      </c>
      <c r="F42" s="82"/>
      <c r="G42" s="80"/>
      <c r="O42" s="23"/>
      <c r="P42" s="83"/>
      <c r="Q42" s="83"/>
    </row>
    <row r="43" spans="1:17" ht="12.75">
      <c r="A43" s="80"/>
      <c r="B43" s="80"/>
      <c r="C43" s="80" t="s">
        <v>119</v>
      </c>
      <c r="D43" s="80"/>
      <c r="E43" s="80">
        <v>176.85</v>
      </c>
      <c r="F43" s="82"/>
      <c r="G43" s="80"/>
      <c r="O43" s="23"/>
      <c r="P43" s="83"/>
      <c r="Q43" s="83"/>
    </row>
    <row r="44" spans="1:17" ht="12.75">
      <c r="A44" s="80"/>
      <c r="B44" s="80"/>
      <c r="C44" s="80"/>
      <c r="D44" s="80"/>
      <c r="E44" s="80"/>
      <c r="F44" s="82"/>
      <c r="G44" s="80"/>
      <c r="O44" s="23"/>
      <c r="P44" s="83"/>
      <c r="Q44" s="83"/>
    </row>
    <row r="46" spans="6:21" ht="12.75">
      <c r="F46" s="23"/>
      <c r="G46" s="23"/>
      <c r="N46" s="28" t="s">
        <v>120</v>
      </c>
      <c r="O46" s="27"/>
      <c r="P46" s="27"/>
      <c r="Q46" s="27"/>
      <c r="R46" s="27"/>
      <c r="S46" s="30" t="s">
        <v>72</v>
      </c>
      <c r="T46" s="31"/>
      <c r="U46" s="32" t="s">
        <v>73</v>
      </c>
    </row>
    <row r="47" spans="1:21" ht="12.75">
      <c r="A47" s="26"/>
      <c r="B47" s="27" t="s">
        <v>121</v>
      </c>
      <c r="C47" s="27"/>
      <c r="D47" s="27"/>
      <c r="E47" s="27"/>
      <c r="F47" s="27"/>
      <c r="G47" s="28" t="s">
        <v>70</v>
      </c>
      <c r="H47" s="29"/>
      <c r="N47" s="37" t="s">
        <v>77</v>
      </c>
      <c r="O47" s="38" t="s">
        <v>78</v>
      </c>
      <c r="P47" s="38" t="s">
        <v>79</v>
      </c>
      <c r="Q47" s="38" t="s">
        <v>80</v>
      </c>
      <c r="R47" s="39" t="s">
        <v>81</v>
      </c>
      <c r="S47" s="38" t="s">
        <v>82</v>
      </c>
      <c r="T47" s="40" t="s">
        <v>83</v>
      </c>
      <c r="U47" s="41"/>
    </row>
    <row r="48" spans="1:22" ht="12.75">
      <c r="A48" s="33"/>
      <c r="B48" s="30"/>
      <c r="C48" s="30"/>
      <c r="D48" s="34" t="s">
        <v>74</v>
      </c>
      <c r="E48" s="27"/>
      <c r="F48" s="27"/>
      <c r="G48" s="35" t="s">
        <v>75</v>
      </c>
      <c r="H48" s="36" t="s">
        <v>76</v>
      </c>
      <c r="N48" s="47">
        <f>O48+P48+Q48</f>
        <v>3912.77</v>
      </c>
      <c r="O48" s="48">
        <v>0</v>
      </c>
      <c r="P48" s="48">
        <v>0</v>
      </c>
      <c r="Q48" s="23">
        <f>2870.5+1042.27</f>
        <v>3912.77</v>
      </c>
      <c r="R48" s="49">
        <v>81.4</v>
      </c>
      <c r="S48" s="50">
        <v>0</v>
      </c>
      <c r="T48" s="51">
        <f>S48*3901.4</f>
        <v>0</v>
      </c>
      <c r="U48" s="52" t="s">
        <v>86</v>
      </c>
      <c r="V48" s="23">
        <f>T48-N48</f>
        <v>-3912.77</v>
      </c>
    </row>
    <row r="49" spans="1:22" ht="12.75">
      <c r="A49" s="42" t="s">
        <v>73</v>
      </c>
      <c r="B49" s="43"/>
      <c r="C49" s="44" t="s">
        <v>79</v>
      </c>
      <c r="D49" s="44" t="s">
        <v>84</v>
      </c>
      <c r="E49" s="44"/>
      <c r="F49" s="44" t="s">
        <v>85</v>
      </c>
      <c r="G49" s="45"/>
      <c r="H49" s="46"/>
      <c r="N49" s="57">
        <f>O49+P49+Q49</f>
        <v>5767.72</v>
      </c>
      <c r="O49" s="65">
        <v>693.36</v>
      </c>
      <c r="P49" s="65">
        <v>2824.76</v>
      </c>
      <c r="Q49" s="113">
        <v>2249.6</v>
      </c>
      <c r="R49" s="65">
        <v>46.8</v>
      </c>
      <c r="S49" s="59">
        <v>2.6</v>
      </c>
      <c r="T49" s="59">
        <f>S49*3901.4</f>
        <v>10143.640000000001</v>
      </c>
      <c r="U49" s="32" t="s">
        <v>87</v>
      </c>
      <c r="V49" s="23">
        <f>V48+T49-N49</f>
        <v>463.15000000000055</v>
      </c>
    </row>
    <row r="50" spans="1:22" ht="12.75">
      <c r="A50" s="53" t="s">
        <v>87</v>
      </c>
      <c r="B50" s="54"/>
      <c r="C50" s="49">
        <v>4040.22</v>
      </c>
      <c r="D50" s="49">
        <v>0</v>
      </c>
      <c r="E50" s="49">
        <f>C50+D50</f>
        <v>4040.22</v>
      </c>
      <c r="F50" s="49"/>
      <c r="G50" s="55">
        <v>1.4</v>
      </c>
      <c r="H50" s="56">
        <f>G50*6756</f>
        <v>9458.4</v>
      </c>
      <c r="I50" s="23">
        <f>H50-E50</f>
        <v>5418.18</v>
      </c>
      <c r="J50" s="23"/>
      <c r="N50" s="60">
        <f>O50+P50+Q50</f>
        <v>7147.3</v>
      </c>
      <c r="O50" s="49">
        <v>693.36</v>
      </c>
      <c r="P50" s="49">
        <v>2824.76</v>
      </c>
      <c r="Q50" s="61">
        <f>2662.45+966.73</f>
        <v>3629.18</v>
      </c>
      <c r="R50" s="49">
        <v>75.5</v>
      </c>
      <c r="S50" s="54">
        <v>2.6</v>
      </c>
      <c r="T50" s="54">
        <f>S50*3901.4</f>
        <v>10143.640000000001</v>
      </c>
      <c r="U50" s="62" t="s">
        <v>88</v>
      </c>
      <c r="V50" s="23">
        <f>V49+T50-N50</f>
        <v>3459.4900000000007</v>
      </c>
    </row>
    <row r="51" spans="1:22" ht="12.75">
      <c r="A51" s="53" t="s">
        <v>88</v>
      </c>
      <c r="B51" s="54"/>
      <c r="C51" s="49">
        <f>+4040.22+364.03</f>
        <v>4404.25</v>
      </c>
      <c r="D51" s="49"/>
      <c r="E51" s="49">
        <f>C51+D51</f>
        <v>4404.25</v>
      </c>
      <c r="F51" s="49"/>
      <c r="G51" s="55">
        <v>1.4</v>
      </c>
      <c r="H51" s="56">
        <f>G51*6756</f>
        <v>9458.4</v>
      </c>
      <c r="I51" s="23">
        <f>I50+H51-E51</f>
        <v>10472.33</v>
      </c>
      <c r="J51" s="23"/>
      <c r="N51" s="60">
        <f>O51+P51+Q51</f>
        <v>6647.38</v>
      </c>
      <c r="O51" s="49">
        <v>693.36</v>
      </c>
      <c r="P51" s="49">
        <v>2824.76</v>
      </c>
      <c r="Q51" s="49">
        <f>2295.7+833.56</f>
        <v>3129.2599999999998</v>
      </c>
      <c r="R51" s="49">
        <v>65.1</v>
      </c>
      <c r="S51" s="54">
        <v>2.6</v>
      </c>
      <c r="T51" s="54">
        <f>S51*3901.4</f>
        <v>10143.640000000001</v>
      </c>
      <c r="U51" s="62" t="s">
        <v>89</v>
      </c>
      <c r="V51" s="23">
        <f>V50+T51-N51</f>
        <v>6955.750000000001</v>
      </c>
    </row>
    <row r="52" spans="1:22" ht="12.75">
      <c r="A52" s="53" t="s">
        <v>89</v>
      </c>
      <c r="B52" s="54"/>
      <c r="C52" s="49">
        <v>4040.22</v>
      </c>
      <c r="D52" s="49"/>
      <c r="E52" s="49">
        <f>C52+D52</f>
        <v>4040.22</v>
      </c>
      <c r="F52" s="49"/>
      <c r="G52" s="55">
        <v>1.4</v>
      </c>
      <c r="H52" s="56">
        <f>G52*6756</f>
        <v>9458.4</v>
      </c>
      <c r="I52" s="23">
        <f>I51+H52-E52</f>
        <v>15890.51</v>
      </c>
      <c r="J52" s="23"/>
      <c r="N52" s="60">
        <f>O52+P52+Q52</f>
        <v>8964.26</v>
      </c>
      <c r="O52" s="49">
        <v>693.36</v>
      </c>
      <c r="P52" s="49">
        <v>2824.76</v>
      </c>
      <c r="Q52" s="49">
        <f>3995.42+1450.72</f>
        <v>5446.14</v>
      </c>
      <c r="R52" s="49">
        <v>113.3</v>
      </c>
      <c r="S52" s="54">
        <v>2.6</v>
      </c>
      <c r="T52" s="54">
        <f>S52*3901.4</f>
        <v>10143.640000000001</v>
      </c>
      <c r="U52" s="62" t="s">
        <v>90</v>
      </c>
      <c r="V52" s="23">
        <f>V51+T52-N52</f>
        <v>8135.130000000003</v>
      </c>
    </row>
    <row r="53" spans="1:22" ht="12.75">
      <c r="A53" s="53" t="s">
        <v>90</v>
      </c>
      <c r="B53" s="54"/>
      <c r="C53" s="49">
        <v>4040.22</v>
      </c>
      <c r="D53" s="49">
        <v>5734.55</v>
      </c>
      <c r="E53" s="49">
        <f>C53+D53</f>
        <v>9774.77</v>
      </c>
      <c r="F53" s="49">
        <v>119.3</v>
      </c>
      <c r="G53" s="55">
        <v>2.1</v>
      </c>
      <c r="H53" s="56">
        <f>G53*6756</f>
        <v>14187.6</v>
      </c>
      <c r="I53" s="23">
        <f>I52+H53-E53</f>
        <v>20303.34</v>
      </c>
      <c r="J53" s="23"/>
      <c r="N53" s="60">
        <f>O53+P53+Q53</f>
        <v>11088.900000000001</v>
      </c>
      <c r="O53" s="49">
        <v>693.36</v>
      </c>
      <c r="P53" s="49">
        <v>2824.76</v>
      </c>
      <c r="Q53" s="49">
        <f>5554.1+2016.68</f>
        <v>7570.780000000001</v>
      </c>
      <c r="R53" s="49">
        <v>157.5</v>
      </c>
      <c r="S53" s="54">
        <v>2.6</v>
      </c>
      <c r="T53" s="54">
        <f>S53*3901.4</f>
        <v>10143.640000000001</v>
      </c>
      <c r="U53" s="62" t="s">
        <v>91</v>
      </c>
      <c r="V53" s="23">
        <f>V52+T53-N53</f>
        <v>7189.870000000003</v>
      </c>
    </row>
    <row r="54" spans="1:22" ht="12.75">
      <c r="A54" s="53" t="s">
        <v>91</v>
      </c>
      <c r="B54" s="54"/>
      <c r="C54" s="49">
        <v>4040.22</v>
      </c>
      <c r="D54" s="49">
        <v>9459.86</v>
      </c>
      <c r="E54" s="49">
        <f>C54+D54</f>
        <v>13500.08</v>
      </c>
      <c r="F54" s="49">
        <v>196.8</v>
      </c>
      <c r="G54" s="55">
        <v>2.1</v>
      </c>
      <c r="H54" s="56">
        <f>G54*6756</f>
        <v>14187.6</v>
      </c>
      <c r="I54" s="23">
        <f>I53+H54-E54</f>
        <v>20990.86</v>
      </c>
      <c r="J54" s="23"/>
      <c r="N54" s="47">
        <f>O54+P54+Q54</f>
        <v>14958.400000000001</v>
      </c>
      <c r="O54" s="49">
        <v>693.36</v>
      </c>
      <c r="P54" s="49">
        <v>2824.76</v>
      </c>
      <c r="Q54" s="48">
        <v>11440.28</v>
      </c>
      <c r="R54" s="48">
        <v>238</v>
      </c>
      <c r="S54" s="54">
        <v>2.6</v>
      </c>
      <c r="T54" s="51">
        <f>S54*3901.4</f>
        <v>10143.640000000001</v>
      </c>
      <c r="U54" s="52" t="s">
        <v>92</v>
      </c>
      <c r="V54" s="23">
        <f>V53+T54-N54</f>
        <v>2375.1100000000006</v>
      </c>
    </row>
    <row r="55" spans="1:22" ht="12.75">
      <c r="A55" s="53" t="s">
        <v>92</v>
      </c>
      <c r="B55" s="54"/>
      <c r="C55" s="49">
        <v>4040.22</v>
      </c>
      <c r="D55" s="69">
        <v>17439.22</v>
      </c>
      <c r="E55" s="49">
        <f>C55+D55</f>
        <v>21479.440000000002</v>
      </c>
      <c r="F55" s="49">
        <v>362.8</v>
      </c>
      <c r="G55" s="55">
        <v>2.1</v>
      </c>
      <c r="H55" s="56">
        <f>G55*6756</f>
        <v>14187.6</v>
      </c>
      <c r="I55" s="23">
        <f>I54+H55-E55</f>
        <v>13699.019999999997</v>
      </c>
      <c r="J55" s="23"/>
      <c r="N55" s="64">
        <f>O55+P55+Q55</f>
        <v>15886.110000000002</v>
      </c>
      <c r="O55" s="65">
        <v>693.36</v>
      </c>
      <c r="P55" s="66">
        <v>2824.76</v>
      </c>
      <c r="Q55" s="61">
        <f>9073.45+3294.54</f>
        <v>12367.990000000002</v>
      </c>
      <c r="R55" s="65">
        <v>257.3</v>
      </c>
      <c r="S55" s="59">
        <v>2.6</v>
      </c>
      <c r="T55" s="59">
        <f>S55*3901.4</f>
        <v>10143.640000000001</v>
      </c>
      <c r="U55" s="67" t="s">
        <v>93</v>
      </c>
      <c r="V55" s="23">
        <f>V54+T55-N55</f>
        <v>-3367.3600000000006</v>
      </c>
    </row>
    <row r="56" spans="1:22" ht="12.75">
      <c r="A56" s="53" t="s">
        <v>93</v>
      </c>
      <c r="B56" s="54"/>
      <c r="C56" s="49">
        <v>4040.22</v>
      </c>
      <c r="D56" s="63">
        <v>18198.7</v>
      </c>
      <c r="E56" s="49">
        <f>C56+D56</f>
        <v>22238.920000000002</v>
      </c>
      <c r="F56" s="63">
        <v>378.6</v>
      </c>
      <c r="G56" s="55">
        <v>2.1</v>
      </c>
      <c r="H56" s="56">
        <f>G56*6756</f>
        <v>14187.6</v>
      </c>
      <c r="I56" s="23">
        <f>I55+H56-E56</f>
        <v>5647.699999999993</v>
      </c>
      <c r="J56" s="23"/>
      <c r="L56">
        <v>427.4</v>
      </c>
      <c r="N56" s="68">
        <f>O56+P56+Q56</f>
        <v>13785.53</v>
      </c>
      <c r="O56" s="49">
        <v>693.36</v>
      </c>
      <c r="P56" s="69">
        <f>2032.53+792.23</f>
        <v>2824.76</v>
      </c>
      <c r="Q56" s="61">
        <f>7532.41+2735</f>
        <v>10267.41</v>
      </c>
      <c r="R56" s="49">
        <v>213.6</v>
      </c>
      <c r="S56" s="54">
        <v>2.6</v>
      </c>
      <c r="T56" s="54">
        <f>S56*3901.4</f>
        <v>10143.640000000001</v>
      </c>
      <c r="U56" s="70" t="s">
        <v>94</v>
      </c>
      <c r="V56" s="23">
        <f>V55+T56-N56</f>
        <v>-7009.25</v>
      </c>
    </row>
    <row r="57" spans="1:22" ht="12.75">
      <c r="A57" s="53" t="s">
        <v>94</v>
      </c>
      <c r="B57" s="54"/>
      <c r="C57" s="49">
        <v>4040.22</v>
      </c>
      <c r="D57" s="63">
        <v>14281.13</v>
      </c>
      <c r="E57" s="49">
        <f>C57+D57</f>
        <v>18321.35</v>
      </c>
      <c r="F57" s="63">
        <v>297.1</v>
      </c>
      <c r="G57" s="55">
        <v>2.1</v>
      </c>
      <c r="H57" s="56">
        <f>G57*6756</f>
        <v>14187.6</v>
      </c>
      <c r="I57" s="23">
        <f>I56+H57-E57</f>
        <v>1513.949999999997</v>
      </c>
      <c r="J57" s="23"/>
      <c r="N57" s="68">
        <f>O57+P57+Q57</f>
        <v>15520.810000000001</v>
      </c>
      <c r="O57" s="49">
        <v>693.36</v>
      </c>
      <c r="P57" s="69">
        <f>2032.53+792.23</f>
        <v>2824.76</v>
      </c>
      <c r="Q57" s="61">
        <v>12002.69</v>
      </c>
      <c r="R57" s="49">
        <v>249.7</v>
      </c>
      <c r="S57" s="54">
        <v>2.6</v>
      </c>
      <c r="T57" s="54">
        <f>S57*3901.4</f>
        <v>10143.640000000001</v>
      </c>
      <c r="U57" s="70" t="s">
        <v>95</v>
      </c>
      <c r="V57" s="23">
        <f>V56+T57-N57</f>
        <v>-12386.42</v>
      </c>
    </row>
    <row r="58" spans="1:22" ht="12.75">
      <c r="A58" s="53" t="s">
        <v>95</v>
      </c>
      <c r="B58" s="54"/>
      <c r="C58" s="49">
        <v>4040.22</v>
      </c>
      <c r="D58" s="63">
        <v>16593.2</v>
      </c>
      <c r="E58" s="49">
        <f>C58+D58</f>
        <v>20633.420000000002</v>
      </c>
      <c r="F58" s="63">
        <v>345.2</v>
      </c>
      <c r="G58" s="55">
        <v>2.1</v>
      </c>
      <c r="H58" s="56">
        <f>G58*6756</f>
        <v>14187.6</v>
      </c>
      <c r="I58" s="23">
        <f>I57+H58-E58</f>
        <v>-4931.870000000004</v>
      </c>
      <c r="J58" s="23"/>
      <c r="N58" s="60">
        <f>O58+P58+Q58</f>
        <v>9747.04</v>
      </c>
      <c r="O58" s="49">
        <v>346.68</v>
      </c>
      <c r="P58" s="69">
        <f>2032.53+792.23</f>
        <v>2824.76</v>
      </c>
      <c r="Q58" s="61">
        <v>6575.6</v>
      </c>
      <c r="R58" s="49">
        <v>136.8</v>
      </c>
      <c r="S58" s="54">
        <v>2.6</v>
      </c>
      <c r="T58" s="54">
        <f>S58*3901.4</f>
        <v>10143.640000000001</v>
      </c>
      <c r="U58" s="70" t="s">
        <v>96</v>
      </c>
      <c r="V58" s="23">
        <f>V57+T58-N58</f>
        <v>-11989.82</v>
      </c>
    </row>
    <row r="59" spans="1:22" ht="12.75">
      <c r="A59" s="53" t="s">
        <v>96</v>
      </c>
      <c r="B59" s="54"/>
      <c r="C59" s="49">
        <v>4040.22</v>
      </c>
      <c r="D59" s="63">
        <v>6479.63</v>
      </c>
      <c r="E59" s="49">
        <f>C59+D59</f>
        <v>10519.85</v>
      </c>
      <c r="F59" s="63">
        <v>134.8</v>
      </c>
      <c r="G59" s="55">
        <v>2.1</v>
      </c>
      <c r="H59" s="56">
        <f>G59*6756</f>
        <v>14187.6</v>
      </c>
      <c r="I59" s="23">
        <f>I58+H59-E59</f>
        <v>-1264.1200000000044</v>
      </c>
      <c r="J59" s="23"/>
      <c r="N59" s="60">
        <f>O59+P59+Q59</f>
        <v>6977.870000000001</v>
      </c>
      <c r="O59" s="49"/>
      <c r="P59" s="69">
        <f>2032.53+792.23</f>
        <v>2824.76</v>
      </c>
      <c r="Q59" s="23">
        <f>3046.82+1106.29</f>
        <v>4153.110000000001</v>
      </c>
      <c r="R59" s="49">
        <v>86.4</v>
      </c>
      <c r="S59" s="54">
        <v>2.6</v>
      </c>
      <c r="T59" s="54">
        <f>S59*3901.4</f>
        <v>10143.640000000001</v>
      </c>
      <c r="U59" s="70" t="s">
        <v>97</v>
      </c>
      <c r="V59" s="23">
        <f>V58+T59-N59</f>
        <v>-8824.05</v>
      </c>
    </row>
    <row r="60" spans="1:22" ht="12.75">
      <c r="A60" s="53" t="s">
        <v>97</v>
      </c>
      <c r="B60" s="54"/>
      <c r="C60" s="49">
        <v>4040.22</v>
      </c>
      <c r="D60" s="49">
        <v>2052.52</v>
      </c>
      <c r="E60" s="49">
        <f>C60+D60</f>
        <v>6092.74</v>
      </c>
      <c r="F60" s="49">
        <v>42.7</v>
      </c>
      <c r="G60" s="55">
        <v>1.4</v>
      </c>
      <c r="H60" s="56">
        <f>G60*6756</f>
        <v>9458.4</v>
      </c>
      <c r="I60" s="23">
        <f>I59+H60-E60</f>
        <v>2101.5399999999954</v>
      </c>
      <c r="J60" s="23"/>
      <c r="N60" s="72">
        <f>O60+P60+Q60</f>
        <v>2824.76</v>
      </c>
      <c r="O60" s="49"/>
      <c r="P60" s="69">
        <f>2032.53+792.23</f>
        <v>2824.76</v>
      </c>
      <c r="Q60" s="23"/>
      <c r="R60" s="71"/>
      <c r="S60" s="54">
        <v>2.6</v>
      </c>
      <c r="T60" s="54">
        <f>S60*3901.4</f>
        <v>10143.640000000001</v>
      </c>
      <c r="U60" s="52" t="s">
        <v>86</v>
      </c>
      <c r="V60" s="23">
        <f>V59+T60-N60</f>
        <v>-1505.1699999999983</v>
      </c>
    </row>
    <row r="61" spans="1:22" ht="12.75">
      <c r="A61" s="53" t="s">
        <v>86</v>
      </c>
      <c r="B61" s="54"/>
      <c r="C61" s="49">
        <v>4040.22</v>
      </c>
      <c r="D61" s="71"/>
      <c r="E61" s="49">
        <f>C61+D61</f>
        <v>4040.22</v>
      </c>
      <c r="F61" s="54"/>
      <c r="G61" s="55">
        <v>1.4</v>
      </c>
      <c r="H61" s="56">
        <f>G61*6756</f>
        <v>9458.4</v>
      </c>
      <c r="I61" s="23">
        <f>I60+H61-E61</f>
        <v>7519.719999999996</v>
      </c>
      <c r="J61" s="23"/>
      <c r="N61" s="76">
        <f>SUM(N47:N60)</f>
        <v>123228.85</v>
      </c>
      <c r="O61" s="77">
        <f>SUM(O47:O60)</f>
        <v>6586.919999999999</v>
      </c>
      <c r="P61" s="77">
        <f>SUM(P47:P60)</f>
        <v>33897.12000000001</v>
      </c>
      <c r="Q61" s="77">
        <f>SUM(Q47:Q60)</f>
        <v>82744.81000000001</v>
      </c>
      <c r="R61" s="77">
        <f>SUM(R47:R60)</f>
        <v>1721.4</v>
      </c>
      <c r="S61" s="77">
        <f>SUM(S48:S60)</f>
        <v>31.200000000000006</v>
      </c>
      <c r="T61" s="77">
        <f>SUM(T47:T60)</f>
        <v>121723.68000000001</v>
      </c>
      <c r="U61" s="78"/>
      <c r="V61" s="23"/>
    </row>
    <row r="62" spans="1:17" ht="12.75">
      <c r="A62" s="73" t="s">
        <v>98</v>
      </c>
      <c r="B62" s="74">
        <f>SUM(B50:B61)</f>
        <v>0</v>
      </c>
      <c r="C62" s="59">
        <f>SUM(C50:C61)</f>
        <v>48846.670000000006</v>
      </c>
      <c r="D62" s="59">
        <f>SUM(D50:D61)</f>
        <v>90238.81000000001</v>
      </c>
      <c r="E62" s="59">
        <f>SUM(E50:E61)</f>
        <v>139085.48</v>
      </c>
      <c r="F62" s="59">
        <f>SUM(F50:F61)</f>
        <v>1877.3000000000002</v>
      </c>
      <c r="G62" s="75">
        <f>SUM(G50:G61)</f>
        <v>21.699999999999996</v>
      </c>
      <c r="H62" s="75">
        <f>SUM(H50:H61)</f>
        <v>146605.2</v>
      </c>
      <c r="N62" s="23">
        <f>SUM(N48:N59)/3901.4/12</f>
        <v>2.571813750619436</v>
      </c>
      <c r="Q62" s="23">
        <f>SUM(P61:Q61)</f>
        <v>116641.93000000002</v>
      </c>
    </row>
    <row r="63" spans="1:17" ht="12.75">
      <c r="A63" s="27"/>
      <c r="B63" s="27">
        <f>B62/6756/12</f>
        <v>0</v>
      </c>
      <c r="C63" s="27">
        <f>C62/E62</f>
        <v>0.35119891738519365</v>
      </c>
      <c r="D63" s="27">
        <f>D62/E62</f>
        <v>0.6488010826148064</v>
      </c>
      <c r="E63" s="27">
        <v>176.85</v>
      </c>
      <c r="F63" s="79">
        <f>F62/6756/12</f>
        <v>0.023155960134201698</v>
      </c>
      <c r="G63" s="27"/>
      <c r="N63" s="23"/>
      <c r="O63" s="23">
        <f>O61/77</f>
        <v>85.54441558441557</v>
      </c>
      <c r="P63" s="83">
        <f>P61/Q62</f>
        <v>0.290608360132587</v>
      </c>
      <c r="Q63" s="83">
        <f>Q61/Q62</f>
        <v>0.709391639867413</v>
      </c>
    </row>
    <row r="64" spans="1:17" ht="12.75">
      <c r="A64" t="s">
        <v>99</v>
      </c>
      <c r="B64" s="80"/>
      <c r="C64" s="80"/>
      <c r="D64" s="80"/>
      <c r="E64" s="81">
        <v>-2781.7</v>
      </c>
      <c r="F64" s="82"/>
      <c r="G64" s="80"/>
      <c r="O64" s="23"/>
      <c r="P64" s="83"/>
      <c r="Q64" s="83"/>
    </row>
    <row r="65" spans="1:18" ht="12.75">
      <c r="A65" t="s">
        <v>100</v>
      </c>
      <c r="B65" s="84"/>
      <c r="C65" s="84"/>
      <c r="D65" s="84"/>
      <c r="E65" s="85">
        <v>-1251.8</v>
      </c>
      <c r="F65" s="86"/>
      <c r="G65" s="84"/>
      <c r="H65" s="84"/>
      <c r="I65" s="84"/>
      <c r="J65" s="84"/>
      <c r="K65" s="84"/>
      <c r="L65" s="84"/>
      <c r="M65" s="84"/>
      <c r="N65" t="s">
        <v>0</v>
      </c>
      <c r="R65" t="s">
        <v>0</v>
      </c>
    </row>
    <row r="66" spans="3:17" ht="12.75">
      <c r="C66" s="80"/>
      <c r="D66" s="80"/>
      <c r="E66" s="81">
        <f>SUM(E62:E65)</f>
        <v>135228.83000000002</v>
      </c>
      <c r="F66" s="82"/>
      <c r="G66" s="80"/>
      <c r="O66" s="23"/>
      <c r="P66" s="83"/>
      <c r="Q66" s="83"/>
    </row>
    <row r="67" spans="1:21" ht="12.75">
      <c r="A67" s="26"/>
      <c r="B67" s="27" t="s">
        <v>122</v>
      </c>
      <c r="C67" s="27"/>
      <c r="D67" s="27"/>
      <c r="E67" s="27"/>
      <c r="F67" s="27"/>
      <c r="G67" s="28" t="s">
        <v>70</v>
      </c>
      <c r="H67" s="29"/>
      <c r="N67" s="37" t="s">
        <v>77</v>
      </c>
      <c r="O67" s="38" t="s">
        <v>78</v>
      </c>
      <c r="P67" s="38" t="s">
        <v>79</v>
      </c>
      <c r="Q67" s="38" t="s">
        <v>80</v>
      </c>
      <c r="R67" s="39" t="s">
        <v>81</v>
      </c>
      <c r="S67" s="38" t="s">
        <v>82</v>
      </c>
      <c r="T67" s="40" t="s">
        <v>83</v>
      </c>
      <c r="U67" s="41"/>
    </row>
    <row r="68" spans="1:22" ht="12.75">
      <c r="A68" s="33"/>
      <c r="B68" s="30"/>
      <c r="C68" s="30"/>
      <c r="D68" s="34" t="s">
        <v>74</v>
      </c>
      <c r="E68" s="27"/>
      <c r="F68" s="27"/>
      <c r="G68" s="35" t="s">
        <v>75</v>
      </c>
      <c r="H68" s="36" t="s">
        <v>76</v>
      </c>
      <c r="N68" s="47">
        <f>O68+P68+Q68</f>
        <v>2844.44</v>
      </c>
      <c r="O68" s="48">
        <v>0</v>
      </c>
      <c r="P68" s="48">
        <v>0</v>
      </c>
      <c r="Q68" s="51">
        <f>2028.75+815.69</f>
        <v>2844.44</v>
      </c>
      <c r="R68" s="48">
        <v>65.4</v>
      </c>
      <c r="S68" s="50">
        <v>0</v>
      </c>
      <c r="T68" s="51">
        <f>S68*3901.4</f>
        <v>0</v>
      </c>
      <c r="U68" s="52" t="s">
        <v>86</v>
      </c>
      <c r="V68" s="23">
        <f>T68-N68</f>
        <v>-2844.44</v>
      </c>
    </row>
    <row r="69" spans="1:22" ht="12.75">
      <c r="A69" s="42" t="s">
        <v>73</v>
      </c>
      <c r="B69" s="43"/>
      <c r="C69" s="44" t="s">
        <v>79</v>
      </c>
      <c r="D69" s="44" t="s">
        <v>84</v>
      </c>
      <c r="E69" s="44"/>
      <c r="F69" s="44" t="s">
        <v>85</v>
      </c>
      <c r="G69" s="45"/>
      <c r="H69" s="46"/>
      <c r="N69" s="57">
        <f>O69+P69+Q69</f>
        <v>5731.15</v>
      </c>
      <c r="O69" s="65">
        <v>693.36</v>
      </c>
      <c r="P69" s="49">
        <f>1787.37+771.33</f>
        <v>2558.7</v>
      </c>
      <c r="Q69" s="58">
        <f>1768.17+710.92</f>
        <v>2479.09</v>
      </c>
      <c r="R69" s="49">
        <v>57</v>
      </c>
      <c r="S69" s="59">
        <v>2.5</v>
      </c>
      <c r="T69" s="54">
        <f>S69*3901.4</f>
        <v>9753.5</v>
      </c>
      <c r="U69" s="32" t="s">
        <v>87</v>
      </c>
      <c r="V69" s="23">
        <f>V68+T69-N69</f>
        <v>1177.9099999999999</v>
      </c>
    </row>
    <row r="70" spans="1:22" ht="12.75">
      <c r="A70" s="53" t="s">
        <v>87</v>
      </c>
      <c r="B70" s="54"/>
      <c r="C70" s="49">
        <v>3580.79</v>
      </c>
      <c r="D70" s="49"/>
      <c r="E70" s="49">
        <f>C70+D70</f>
        <v>3580.79</v>
      </c>
      <c r="F70" s="49"/>
      <c r="G70" s="55">
        <v>1.3</v>
      </c>
      <c r="H70" s="56">
        <f>G70*6756</f>
        <v>8782.800000000001</v>
      </c>
      <c r="I70" s="23">
        <f>H70-E70</f>
        <v>5202.010000000001</v>
      </c>
      <c r="J70" s="23"/>
      <c r="N70" s="60">
        <f>O70+P70+Q70</f>
        <v>6331.34</v>
      </c>
      <c r="O70" s="49">
        <v>693.36</v>
      </c>
      <c r="P70" s="49">
        <v>2558.69</v>
      </c>
      <c r="Q70" s="61">
        <f>2196.26+883.03</f>
        <v>3079.29</v>
      </c>
      <c r="R70" s="49">
        <v>70.8</v>
      </c>
      <c r="S70" s="54">
        <v>2.5</v>
      </c>
      <c r="T70" s="54">
        <f>S70*3901.4</f>
        <v>9753.5</v>
      </c>
      <c r="U70" s="62" t="s">
        <v>88</v>
      </c>
      <c r="V70" s="23">
        <f>V69+T70-N70</f>
        <v>4600.07</v>
      </c>
    </row>
    <row r="71" spans="1:22" ht="12.75">
      <c r="A71" s="53" t="s">
        <v>88</v>
      </c>
      <c r="B71" s="54"/>
      <c r="C71" s="49">
        <v>3580.79</v>
      </c>
      <c r="D71" s="49"/>
      <c r="E71" s="49">
        <f>C71+D71</f>
        <v>3580.79</v>
      </c>
      <c r="F71" s="49"/>
      <c r="G71" s="55">
        <v>1.3</v>
      </c>
      <c r="H71" s="56">
        <f>G71*6756</f>
        <v>8782.800000000001</v>
      </c>
      <c r="I71" s="23">
        <f>I70+H71-E71</f>
        <v>10404.02</v>
      </c>
      <c r="J71" s="23"/>
      <c r="N71" s="60">
        <f>O71+P71+Q71</f>
        <v>6026.89</v>
      </c>
      <c r="O71" s="49">
        <v>693.36</v>
      </c>
      <c r="P71" s="49">
        <v>2558.69</v>
      </c>
      <c r="Q71" s="49">
        <f>1979.12+795.72</f>
        <v>2774.84</v>
      </c>
      <c r="R71" s="49">
        <v>63.8</v>
      </c>
      <c r="S71" s="54">
        <v>2.5</v>
      </c>
      <c r="T71" s="54">
        <f>S71*3901.4</f>
        <v>9753.5</v>
      </c>
      <c r="U71" s="62" t="s">
        <v>89</v>
      </c>
      <c r="V71" s="23">
        <f>V70+T71-N71</f>
        <v>8326.68</v>
      </c>
    </row>
    <row r="72" spans="1:22" ht="12.75">
      <c r="A72" s="53" t="s">
        <v>89</v>
      </c>
      <c r="B72" s="54"/>
      <c r="C72" s="49">
        <v>3580.79</v>
      </c>
      <c r="D72" s="49"/>
      <c r="E72" s="49">
        <f>C72+D72</f>
        <v>3580.79</v>
      </c>
      <c r="F72" s="49"/>
      <c r="G72" s="55">
        <v>1.3</v>
      </c>
      <c r="H72" s="56">
        <f>G72*6756</f>
        <v>8782.800000000001</v>
      </c>
      <c r="I72" s="23">
        <f>I71+H72-E72</f>
        <v>15606.029999999999</v>
      </c>
      <c r="J72" s="23"/>
      <c r="N72" s="60">
        <f>O72+P72+Q72</f>
        <v>8610.36</v>
      </c>
      <c r="O72" s="49">
        <v>693.36</v>
      </c>
      <c r="P72" s="49">
        <v>2558.69</v>
      </c>
      <c r="Q72" s="49">
        <f>3821.73+1536.58</f>
        <v>5358.3099999999995</v>
      </c>
      <c r="R72" s="49">
        <v>123.2</v>
      </c>
      <c r="S72" s="54">
        <v>2.5</v>
      </c>
      <c r="T72" s="54">
        <f>S72*3901.4</f>
        <v>9753.5</v>
      </c>
      <c r="U72" s="62" t="s">
        <v>90</v>
      </c>
      <c r="V72" s="23">
        <f>V71+T72-N72</f>
        <v>9469.82</v>
      </c>
    </row>
    <row r="73" spans="1:22" ht="12.75">
      <c r="A73" s="53" t="s">
        <v>90</v>
      </c>
      <c r="B73" s="54"/>
      <c r="C73" s="49">
        <v>3580.79</v>
      </c>
      <c r="D73" s="49">
        <v>6123.79</v>
      </c>
      <c r="E73" s="49">
        <f>C73+D73</f>
        <v>9704.58</v>
      </c>
      <c r="F73" s="49">
        <v>140.8</v>
      </c>
      <c r="G73" s="55">
        <v>2.1</v>
      </c>
      <c r="H73" s="56">
        <f>G73*6756</f>
        <v>14187.6</v>
      </c>
      <c r="I73" s="23">
        <f>I72+H73-E73</f>
        <v>20089.049999999996</v>
      </c>
      <c r="J73" s="23"/>
      <c r="N73" s="60">
        <f>O73+P73+Q73</f>
        <v>10480.05</v>
      </c>
      <c r="O73" s="49">
        <v>693.36</v>
      </c>
      <c r="P73" s="49">
        <f>1903.22+781.8</f>
        <v>2685.02</v>
      </c>
      <c r="Q73" s="49">
        <f>5135.47+1966.2</f>
        <v>7101.67</v>
      </c>
      <c r="R73" s="49">
        <v>155.5</v>
      </c>
      <c r="S73" s="54">
        <v>2.5</v>
      </c>
      <c r="T73" s="54">
        <f>S73*3901.4</f>
        <v>9753.5</v>
      </c>
      <c r="U73" s="62" t="s">
        <v>91</v>
      </c>
      <c r="V73" s="23">
        <f>V72+T73-N73</f>
        <v>8743.27</v>
      </c>
    </row>
    <row r="74" spans="1:22" ht="12.75">
      <c r="A74" s="53" t="s">
        <v>91</v>
      </c>
      <c r="B74" s="54"/>
      <c r="C74" s="49">
        <v>3788.39</v>
      </c>
      <c r="D74" s="49">
        <v>8161.22</v>
      </c>
      <c r="E74" s="49">
        <f>C74+D74</f>
        <v>11949.61</v>
      </c>
      <c r="F74" s="49">
        <v>178.7</v>
      </c>
      <c r="G74" s="55">
        <v>2.1</v>
      </c>
      <c r="H74" s="56">
        <f>G74*6756</f>
        <v>14187.6</v>
      </c>
      <c r="I74" s="23">
        <f>I73+H74-E74</f>
        <v>22327.039999999994</v>
      </c>
      <c r="J74" s="23"/>
      <c r="N74" s="47">
        <f>O74+P74+Q74</f>
        <v>12690.48</v>
      </c>
      <c r="O74" s="49">
        <v>693.36</v>
      </c>
      <c r="P74" s="49">
        <f>1903.22+781.8</f>
        <v>2685.02</v>
      </c>
      <c r="Q74" s="48">
        <f>6733.91+2578.19</f>
        <v>9312.1</v>
      </c>
      <c r="R74" s="48">
        <v>203.9</v>
      </c>
      <c r="S74" s="51">
        <v>2.5</v>
      </c>
      <c r="T74" s="51">
        <f>S74*3901.4</f>
        <v>9753.5</v>
      </c>
      <c r="U74" s="52" t="s">
        <v>92</v>
      </c>
      <c r="V74" s="23">
        <f>V73+T74-N74</f>
        <v>5806.290000000001</v>
      </c>
    </row>
    <row r="75" spans="1:22" ht="12.75">
      <c r="A75" s="53" t="s">
        <v>92</v>
      </c>
      <c r="B75" s="54"/>
      <c r="C75" s="49">
        <v>3788.39</v>
      </c>
      <c r="D75" s="49">
        <v>13678.14</v>
      </c>
      <c r="E75" s="49">
        <f>C75+D75</f>
        <v>17466.53</v>
      </c>
      <c r="F75" s="49">
        <v>299.5</v>
      </c>
      <c r="G75" s="55">
        <v>2.1</v>
      </c>
      <c r="H75" s="56">
        <f>G75*6756</f>
        <v>14187.6</v>
      </c>
      <c r="I75" s="23">
        <f>I74+H75-E75</f>
        <v>19048.109999999993</v>
      </c>
      <c r="J75" s="23"/>
      <c r="N75" s="64">
        <f>O75+P75+Q75</f>
        <v>13261.59</v>
      </c>
      <c r="O75" s="65">
        <v>693.36</v>
      </c>
      <c r="P75" s="66">
        <v>2824.76</v>
      </c>
      <c r="Q75" s="110">
        <f>7148.03+2595.44</f>
        <v>9743.47</v>
      </c>
      <c r="R75" s="65">
        <v>202.7</v>
      </c>
      <c r="S75" s="59">
        <v>2.6</v>
      </c>
      <c r="T75" s="59">
        <f>S75*3901.4</f>
        <v>10143.640000000001</v>
      </c>
      <c r="U75" s="67" t="s">
        <v>93</v>
      </c>
      <c r="V75" s="23">
        <f>V74+T75-N75</f>
        <v>2688.340000000002</v>
      </c>
    </row>
    <row r="76" spans="1:22" ht="12.75">
      <c r="A76" s="53" t="s">
        <v>93</v>
      </c>
      <c r="B76" s="54"/>
      <c r="C76" s="49">
        <v>4040.22</v>
      </c>
      <c r="D76" s="63">
        <v>13795.64</v>
      </c>
      <c r="E76" s="49">
        <f>C76+D76</f>
        <v>17835.86</v>
      </c>
      <c r="F76" s="63">
        <v>287</v>
      </c>
      <c r="G76" s="55">
        <v>2.1</v>
      </c>
      <c r="H76" s="56">
        <f>G76*6756</f>
        <v>14187.6</v>
      </c>
      <c r="I76" s="23">
        <f>I75+H76-E76</f>
        <v>15399.849999999991</v>
      </c>
      <c r="J76" s="23"/>
      <c r="L76">
        <v>427.4</v>
      </c>
      <c r="N76" s="68">
        <f>O76+P76+Q76</f>
        <v>16722.51</v>
      </c>
      <c r="O76" s="49">
        <v>693.36</v>
      </c>
      <c r="P76" s="69">
        <f>2032.53+792.23</f>
        <v>2824.76</v>
      </c>
      <c r="Q76" s="61">
        <f>9687.05+3517.34</f>
        <v>13204.39</v>
      </c>
      <c r="R76" s="49">
        <v>274.7</v>
      </c>
      <c r="S76" s="54">
        <v>2.6</v>
      </c>
      <c r="T76" s="54">
        <f>S76*3901.4</f>
        <v>10143.640000000001</v>
      </c>
      <c r="U76" s="70" t="s">
        <v>94</v>
      </c>
      <c r="V76" s="23">
        <f>V75+T76-N76</f>
        <v>-3890.529999999995</v>
      </c>
    </row>
    <row r="77" spans="1:22" ht="12.75">
      <c r="A77" s="53" t="s">
        <v>94</v>
      </c>
      <c r="B77" s="54"/>
      <c r="C77" s="49">
        <v>4040.22</v>
      </c>
      <c r="D77" s="63">
        <v>19289.85</v>
      </c>
      <c r="E77" s="49">
        <f>C77+D77</f>
        <v>23330.07</v>
      </c>
      <c r="F77" s="63">
        <v>401.3</v>
      </c>
      <c r="G77" s="55">
        <v>2.1</v>
      </c>
      <c r="H77" s="56">
        <f>G77*6756</f>
        <v>14187.6</v>
      </c>
      <c r="I77" s="23">
        <f>I76+H77-E77</f>
        <v>6257.37999999999</v>
      </c>
      <c r="J77" s="23"/>
      <c r="N77" s="68">
        <f>O77+P77+Q77</f>
        <v>10911.04</v>
      </c>
      <c r="O77" s="49">
        <v>693.36</v>
      </c>
      <c r="P77" s="69">
        <f>2032.53+792.23</f>
        <v>2824.76</v>
      </c>
      <c r="Q77" s="61">
        <f>5423.62+1969.3</f>
        <v>7392.92</v>
      </c>
      <c r="R77" s="49">
        <v>153.8</v>
      </c>
      <c r="S77" s="54">
        <v>2.6</v>
      </c>
      <c r="T77" s="54">
        <f>S77*3901.4</f>
        <v>10143.640000000001</v>
      </c>
      <c r="U77" s="70" t="s">
        <v>95</v>
      </c>
      <c r="V77" s="23">
        <f>V76+T77-N77</f>
        <v>-4657.929999999995</v>
      </c>
    </row>
    <row r="78" spans="1:22" ht="12.75">
      <c r="A78" s="53" t="s">
        <v>95</v>
      </c>
      <c r="B78" s="54"/>
      <c r="C78" s="49">
        <v>4040.22</v>
      </c>
      <c r="D78" s="63">
        <v>8436.02</v>
      </c>
      <c r="E78" s="49">
        <f>C78+D78</f>
        <v>12476.24</v>
      </c>
      <c r="F78" s="63">
        <v>172.5</v>
      </c>
      <c r="G78" s="55">
        <v>2.1</v>
      </c>
      <c r="H78" s="56">
        <f>G78*6756</f>
        <v>14187.6</v>
      </c>
      <c r="I78" s="23">
        <f>I77+H78-E78</f>
        <v>7968.739999999989</v>
      </c>
      <c r="J78" s="23"/>
      <c r="N78" s="60">
        <f>O78+P78+Q78</f>
        <v>9762.2</v>
      </c>
      <c r="O78" s="49">
        <v>693.36</v>
      </c>
      <c r="P78" s="69">
        <f>2032.53+792.23</f>
        <v>2824.76</v>
      </c>
      <c r="Q78" s="61">
        <f>4580.8+1663.28</f>
        <v>6244.08</v>
      </c>
      <c r="R78" s="49">
        <v>129.9</v>
      </c>
      <c r="S78" s="54">
        <v>2.6</v>
      </c>
      <c r="T78" s="54">
        <f>S78*3901.4</f>
        <v>10143.640000000001</v>
      </c>
      <c r="U78" s="70" t="s">
        <v>96</v>
      </c>
      <c r="V78" s="23">
        <f>V77+T78-N78</f>
        <v>-4276.489999999994</v>
      </c>
    </row>
    <row r="79" spans="1:22" ht="12.75">
      <c r="A79" s="53" t="s">
        <v>96</v>
      </c>
      <c r="B79" s="54"/>
      <c r="C79" s="49">
        <v>4040.22</v>
      </c>
      <c r="D79" s="63">
        <v>6743.99</v>
      </c>
      <c r="E79" s="49">
        <f>C79+D79</f>
        <v>10784.21</v>
      </c>
      <c r="F79" s="63">
        <v>140.3</v>
      </c>
      <c r="G79" s="55">
        <v>2.1</v>
      </c>
      <c r="H79" s="56">
        <f>G79*6756</f>
        <v>14187.6</v>
      </c>
      <c r="I79" s="23">
        <f>I78+H79-E79</f>
        <v>11372.12999999999</v>
      </c>
      <c r="J79" s="23"/>
      <c r="N79" s="60">
        <f>O79+P79+Q79</f>
        <v>7478.950000000001</v>
      </c>
      <c r="O79" s="49">
        <v>693.36</v>
      </c>
      <c r="P79" s="69">
        <f>2032.53+792.23</f>
        <v>2824.76</v>
      </c>
      <c r="Q79" s="23">
        <f>2905.76+1055.07</f>
        <v>3960.83</v>
      </c>
      <c r="R79" s="49">
        <v>82.4</v>
      </c>
      <c r="S79" s="54">
        <v>2.6</v>
      </c>
      <c r="T79" s="54">
        <f>S79*3901.4</f>
        <v>10143.640000000001</v>
      </c>
      <c r="U79" s="70" t="s">
        <v>97</v>
      </c>
      <c r="V79" s="23">
        <f>V78+T79-N79</f>
        <v>-1611.7999999999938</v>
      </c>
    </row>
    <row r="80" spans="1:22" ht="12.75">
      <c r="A80" s="53" t="s">
        <v>97</v>
      </c>
      <c r="B80" s="54"/>
      <c r="C80" s="49">
        <v>4040.22</v>
      </c>
      <c r="D80" s="49">
        <v>2215.96</v>
      </c>
      <c r="E80" s="49">
        <f>C80+D80</f>
        <v>6256.18</v>
      </c>
      <c r="F80" s="54">
        <v>46.1</v>
      </c>
      <c r="G80" s="55">
        <v>1.4</v>
      </c>
      <c r="H80" s="56">
        <f>G80*6756</f>
        <v>9458.4</v>
      </c>
      <c r="I80" s="23">
        <f>I79+H80-E80</f>
        <v>14574.349999999991</v>
      </c>
      <c r="J80" s="23"/>
      <c r="N80" s="72">
        <f>O80+P80+Q80</f>
        <v>3518.1200000000003</v>
      </c>
      <c r="O80" s="49">
        <v>693.36</v>
      </c>
      <c r="P80" s="69">
        <f>2032.53+792.23</f>
        <v>2824.76</v>
      </c>
      <c r="Q80" s="23"/>
      <c r="R80" s="71"/>
      <c r="S80" s="54">
        <v>2.6</v>
      </c>
      <c r="T80" s="54">
        <f>S80*3901.4</f>
        <v>10143.640000000001</v>
      </c>
      <c r="U80" s="52" t="s">
        <v>86</v>
      </c>
      <c r="V80" s="23">
        <f>V79+T80-N80</f>
        <v>5013.720000000007</v>
      </c>
    </row>
    <row r="81" spans="1:22" ht="12.75">
      <c r="A81" s="53" t="s">
        <v>86</v>
      </c>
      <c r="B81" s="54"/>
      <c r="C81" s="49">
        <v>4040.22</v>
      </c>
      <c r="D81" s="49"/>
      <c r="E81" s="49">
        <f>C81+D81</f>
        <v>4040.22</v>
      </c>
      <c r="F81" s="54"/>
      <c r="G81" s="55">
        <v>1.4</v>
      </c>
      <c r="H81" s="56">
        <f>G81*6756</f>
        <v>9458.4</v>
      </c>
      <c r="I81" s="23">
        <f>I80+H81-E81</f>
        <v>19992.52999999999</v>
      </c>
      <c r="J81" s="23"/>
      <c r="N81" s="76">
        <f>SUM(N67:N80)</f>
        <v>114369.12</v>
      </c>
      <c r="O81" s="77">
        <f>SUM(O67:O80)</f>
        <v>8320.319999999998</v>
      </c>
      <c r="P81" s="77">
        <f>SUM(P67:P80)</f>
        <v>32553.370000000006</v>
      </c>
      <c r="Q81" s="77">
        <f>SUM(Q67:Q80)</f>
        <v>73495.43000000001</v>
      </c>
      <c r="R81" s="77">
        <f>SUM(R67:R80)</f>
        <v>1583.1000000000004</v>
      </c>
      <c r="S81" s="77">
        <f>SUM(S68:S80)</f>
        <v>30.600000000000005</v>
      </c>
      <c r="T81" s="77">
        <f>SUM(T67:T80)</f>
        <v>119382.84</v>
      </c>
      <c r="U81" s="78"/>
      <c r="V81" s="23"/>
    </row>
    <row r="82" spans="1:17" ht="12.75">
      <c r="A82" s="73" t="s">
        <v>98</v>
      </c>
      <c r="B82" s="74">
        <f>SUM(B70:B81)</f>
        <v>0</v>
      </c>
      <c r="C82" s="59">
        <f>SUM(C70:C81)</f>
        <v>46141.26</v>
      </c>
      <c r="D82" s="59">
        <f>SUM(D70:D81)</f>
        <v>78444.61</v>
      </c>
      <c r="E82" s="59">
        <f>SUM(E70:E81)</f>
        <v>124585.87000000001</v>
      </c>
      <c r="F82" s="59">
        <f>SUM(F70:F81)</f>
        <v>1666.1999999999998</v>
      </c>
      <c r="G82" s="75">
        <f>SUM(G70:G81)</f>
        <v>21.4</v>
      </c>
      <c r="H82" s="75">
        <f>SUM(H70:H81)</f>
        <v>144578.4</v>
      </c>
      <c r="N82" s="23">
        <f>SUM(N68:N79)/3901.4/12</f>
        <v>2.367761145571675</v>
      </c>
      <c r="Q82" s="23">
        <f>SUM(P81:Q81)</f>
        <v>106048.80000000002</v>
      </c>
    </row>
    <row r="83" spans="1:17" ht="12.75">
      <c r="A83" s="27"/>
      <c r="B83" s="27">
        <f>B82/6756/12</f>
        <v>0</v>
      </c>
      <c r="C83" s="27">
        <f>C82/E82</f>
        <v>0.3703570878463184</v>
      </c>
      <c r="D83" s="27">
        <f>D82/E82</f>
        <v>0.6296429121536816</v>
      </c>
      <c r="E83" s="27"/>
      <c r="F83" s="79">
        <f>F82/6756/12</f>
        <v>0.020552101835405564</v>
      </c>
      <c r="G83" s="27"/>
      <c r="N83" s="23"/>
      <c r="O83" s="23">
        <f>O81/77</f>
        <v>108.05610389610386</v>
      </c>
      <c r="P83" s="83">
        <f>P81/Q82</f>
        <v>0.3069659439805071</v>
      </c>
      <c r="Q83" s="83">
        <f>Q81/Q82</f>
        <v>0.6930340560194929</v>
      </c>
    </row>
    <row r="84" spans="1:17" ht="12.75">
      <c r="A84" t="s">
        <v>99</v>
      </c>
      <c r="B84" s="80"/>
      <c r="C84" s="80"/>
      <c r="D84" s="80"/>
      <c r="E84" s="81">
        <v>-2491.72</v>
      </c>
      <c r="F84" s="82"/>
      <c r="G84" s="80"/>
      <c r="O84" s="23"/>
      <c r="P84" s="83"/>
      <c r="Q84" s="83"/>
    </row>
    <row r="85" spans="1:18" ht="12.75">
      <c r="A85" t="s">
        <v>100</v>
      </c>
      <c r="B85" s="84"/>
      <c r="C85" s="84"/>
      <c r="D85" s="84"/>
      <c r="E85" s="85">
        <v>-1121.27</v>
      </c>
      <c r="F85" s="86"/>
      <c r="G85" s="84"/>
      <c r="H85" s="84"/>
      <c r="I85" s="84"/>
      <c r="J85" s="84"/>
      <c r="K85" s="84"/>
      <c r="L85" s="84"/>
      <c r="M85" s="84"/>
      <c r="N85" t="s">
        <v>0</v>
      </c>
      <c r="R85" t="s">
        <v>0</v>
      </c>
    </row>
    <row r="86" spans="3:17" ht="12.75">
      <c r="C86" s="80"/>
      <c r="D86" s="80"/>
      <c r="E86" s="81">
        <f>SUM(E82:E85)</f>
        <v>120972.88</v>
      </c>
      <c r="F86" s="82"/>
      <c r="G86" s="80"/>
      <c r="O86" s="23"/>
      <c r="P86" s="83"/>
      <c r="Q86" s="83"/>
    </row>
    <row r="87" spans="2:17" ht="12.75">
      <c r="B87" s="80"/>
      <c r="C87" s="80"/>
      <c r="D87" s="80"/>
      <c r="E87" s="80"/>
      <c r="F87" s="82"/>
      <c r="G87" s="80"/>
      <c r="O87" s="23"/>
      <c r="P87" s="83"/>
      <c r="Q87" s="83"/>
    </row>
    <row r="90" spans="1:20" ht="12.75">
      <c r="A90" s="26">
        <v>2011</v>
      </c>
      <c r="B90" s="27" t="s">
        <v>103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36" t="s">
        <v>104</v>
      </c>
      <c r="N90" s="28" t="s">
        <v>123</v>
      </c>
      <c r="O90" s="27"/>
      <c r="P90" s="27"/>
      <c r="Q90" s="27"/>
      <c r="R90" s="27"/>
      <c r="S90" s="36" t="s">
        <v>106</v>
      </c>
      <c r="T90" s="84"/>
    </row>
    <row r="91" spans="1:20" ht="12.75">
      <c r="A91" s="33"/>
      <c r="B91" s="30"/>
      <c r="C91" s="30"/>
      <c r="D91" s="34" t="s">
        <v>74</v>
      </c>
      <c r="E91" s="27"/>
      <c r="F91" s="27"/>
      <c r="G91" s="88"/>
      <c r="H91" s="27"/>
      <c r="I91" s="27" t="s">
        <v>107</v>
      </c>
      <c r="J91" s="27"/>
      <c r="K91" s="27"/>
      <c r="L91" s="27"/>
      <c r="M91" s="89" t="s">
        <v>108</v>
      </c>
      <c r="N91" s="90"/>
      <c r="O91" s="30" t="s">
        <v>78</v>
      </c>
      <c r="P91" s="30"/>
      <c r="Q91" s="30"/>
      <c r="R91" s="30"/>
      <c r="S91" s="89" t="s">
        <v>109</v>
      </c>
      <c r="T91" s="84"/>
    </row>
    <row r="92" spans="1:20" ht="12.75">
      <c r="A92" s="42" t="s">
        <v>73</v>
      </c>
      <c r="B92" s="43" t="s">
        <v>110</v>
      </c>
      <c r="C92" s="44" t="s">
        <v>79</v>
      </c>
      <c r="D92" s="44" t="s">
        <v>84</v>
      </c>
      <c r="E92" s="44" t="s">
        <v>111</v>
      </c>
      <c r="F92" s="44" t="s">
        <v>85</v>
      </c>
      <c r="G92" s="55" t="s">
        <v>124</v>
      </c>
      <c r="H92" s="91" t="s">
        <v>79</v>
      </c>
      <c r="I92" s="44" t="s">
        <v>80</v>
      </c>
      <c r="J92" s="44" t="s">
        <v>112</v>
      </c>
      <c r="K92" s="44" t="s">
        <v>113</v>
      </c>
      <c r="L92" s="92" t="s">
        <v>114</v>
      </c>
      <c r="M92" s="46" t="s">
        <v>39</v>
      </c>
      <c r="N92" s="93" t="s">
        <v>77</v>
      </c>
      <c r="O92" s="94" t="s">
        <v>115</v>
      </c>
      <c r="P92" s="95" t="s">
        <v>79</v>
      </c>
      <c r="Q92" s="95" t="s">
        <v>80</v>
      </c>
      <c r="R92" s="95" t="s">
        <v>81</v>
      </c>
      <c r="S92" s="96" t="s">
        <v>39</v>
      </c>
      <c r="T92" s="97"/>
    </row>
    <row r="93" spans="1:21" ht="12.75">
      <c r="A93" s="98" t="s">
        <v>93</v>
      </c>
      <c r="B93" s="59">
        <f>E93+H93+I93+N93</f>
        <v>36520.25</v>
      </c>
      <c r="C93" s="49">
        <v>3580.79</v>
      </c>
      <c r="D93" s="49">
        <v>13247.9</v>
      </c>
      <c r="E93" s="49">
        <f>C93+D93</f>
        <v>16828.69</v>
      </c>
      <c r="F93" s="63">
        <v>304.6</v>
      </c>
      <c r="G93" s="99">
        <v>2.1</v>
      </c>
      <c r="H93" s="64">
        <v>1030</v>
      </c>
      <c r="I93" s="61">
        <v>4784.21</v>
      </c>
      <c r="J93" s="65">
        <v>110</v>
      </c>
      <c r="K93" s="100">
        <v>397</v>
      </c>
      <c r="L93" s="114"/>
      <c r="M93" s="101"/>
      <c r="N93" s="64">
        <f>O93+P93+Q93</f>
        <v>13877.349999999999</v>
      </c>
      <c r="O93" s="65">
        <v>693.36</v>
      </c>
      <c r="P93" s="65">
        <v>2558.69</v>
      </c>
      <c r="Q93" s="61">
        <f>7578.34+3046.96</f>
        <v>10625.3</v>
      </c>
      <c r="R93" s="65">
        <v>244.3</v>
      </c>
      <c r="S93" s="101">
        <v>348</v>
      </c>
      <c r="T93" s="102"/>
      <c r="U93" s="103" t="s">
        <v>0</v>
      </c>
    </row>
    <row r="94" spans="1:20" ht="12.75">
      <c r="A94" s="53" t="s">
        <v>94</v>
      </c>
      <c r="B94" s="54">
        <f>E94+H94+I94+N94</f>
        <v>39556.04</v>
      </c>
      <c r="C94" s="49">
        <v>3580.79</v>
      </c>
      <c r="D94" s="49">
        <v>16053.19</v>
      </c>
      <c r="E94" s="49">
        <f>C94+D94</f>
        <v>19633.98</v>
      </c>
      <c r="F94" s="63">
        <v>369.1</v>
      </c>
      <c r="G94" s="55">
        <v>2.1</v>
      </c>
      <c r="H94" s="68">
        <v>1030</v>
      </c>
      <c r="I94" s="61">
        <v>5001.67</v>
      </c>
      <c r="J94" s="49">
        <v>115</v>
      </c>
      <c r="K94" s="100">
        <v>376</v>
      </c>
      <c r="L94" s="107"/>
      <c r="M94" s="104"/>
      <c r="N94" s="68">
        <f>O94+P94+Q94</f>
        <v>13890.39</v>
      </c>
      <c r="O94" s="49">
        <v>693.36</v>
      </c>
      <c r="P94" s="49">
        <v>2558.69</v>
      </c>
      <c r="Q94" s="61">
        <f>7587.64+3050.7</f>
        <v>10638.34</v>
      </c>
      <c r="R94" s="49">
        <v>244.6</v>
      </c>
      <c r="S94" s="104">
        <v>427</v>
      </c>
      <c r="T94" s="105"/>
    </row>
    <row r="95" spans="1:20" ht="12.75">
      <c r="A95" s="53" t="s">
        <v>95</v>
      </c>
      <c r="B95" s="54">
        <f>E95+H95+I95+N95</f>
        <v>31044.5</v>
      </c>
      <c r="C95" s="49">
        <v>3580.79</v>
      </c>
      <c r="D95" s="49">
        <v>10407.83</v>
      </c>
      <c r="E95" s="49">
        <f>C95+D95</f>
        <v>13988.619999999999</v>
      </c>
      <c r="F95" s="63">
        <v>239.3</v>
      </c>
      <c r="G95" s="55">
        <v>2.1</v>
      </c>
      <c r="H95" s="68">
        <v>1030</v>
      </c>
      <c r="I95" s="61">
        <v>5001.67</v>
      </c>
      <c r="J95" s="49">
        <v>115</v>
      </c>
      <c r="K95" s="100">
        <v>429</v>
      </c>
      <c r="L95" s="107"/>
      <c r="M95" s="104"/>
      <c r="N95" s="68">
        <f>O95+P95+Q95</f>
        <v>11024.21</v>
      </c>
      <c r="O95" s="49">
        <v>693.36</v>
      </c>
      <c r="P95" s="49">
        <v>2558.69</v>
      </c>
      <c r="Q95" s="61">
        <f>5543.38+2228.78</f>
        <v>7772.16</v>
      </c>
      <c r="R95" s="49">
        <v>178.7</v>
      </c>
      <c r="S95" s="104"/>
      <c r="T95" s="105"/>
    </row>
    <row r="96" spans="1:20" ht="12.75">
      <c r="A96" s="53" t="s">
        <v>96</v>
      </c>
      <c r="B96" s="54">
        <f>E96+H96+I96+N96</f>
        <v>21276.010000000002</v>
      </c>
      <c r="C96" s="49">
        <v>3580.79</v>
      </c>
      <c r="D96" s="54">
        <v>4471.06</v>
      </c>
      <c r="E96" s="49">
        <f>C96+D96</f>
        <v>8051.85</v>
      </c>
      <c r="F96" s="63">
        <v>102.8</v>
      </c>
      <c r="G96" s="55">
        <v>2.1</v>
      </c>
      <c r="H96" s="68">
        <v>1030</v>
      </c>
      <c r="I96" s="61">
        <v>4262.3</v>
      </c>
      <c r="J96" s="49">
        <v>98</v>
      </c>
      <c r="K96" s="100">
        <v>370</v>
      </c>
      <c r="L96" s="107"/>
      <c r="M96" s="104"/>
      <c r="N96" s="68">
        <f>O96+P96+Q96</f>
        <v>7931.86</v>
      </c>
      <c r="O96" s="49">
        <v>693.36</v>
      </c>
      <c r="P96" s="49">
        <v>2558.69</v>
      </c>
      <c r="Q96" s="61">
        <f>3337.81+1342</f>
        <v>4679.8099999999995</v>
      </c>
      <c r="R96" s="49">
        <v>107.6</v>
      </c>
      <c r="S96" s="104"/>
      <c r="T96" s="105"/>
    </row>
    <row r="97" spans="1:20" ht="12.75">
      <c r="A97" s="53" t="s">
        <v>97</v>
      </c>
      <c r="B97" s="54">
        <f>E97+H97+I97+N97</f>
        <v>18796.920000000002</v>
      </c>
      <c r="C97" s="49">
        <v>3580.79</v>
      </c>
      <c r="D97" s="49">
        <v>0</v>
      </c>
      <c r="E97" s="49">
        <f>C97+D97</f>
        <v>3580.79</v>
      </c>
      <c r="F97" s="49"/>
      <c r="G97" s="55">
        <v>1.3</v>
      </c>
      <c r="H97" s="68">
        <v>1030</v>
      </c>
      <c r="I97" s="61">
        <f>4876.43+1960.63</f>
        <v>6837.06</v>
      </c>
      <c r="J97" s="49">
        <v>157.2</v>
      </c>
      <c r="K97" s="100">
        <v>489</v>
      </c>
      <c r="L97" s="107"/>
      <c r="M97" s="104"/>
      <c r="N97" s="68">
        <f>O97+P97+Q97</f>
        <v>7349.070000000001</v>
      </c>
      <c r="O97" s="49">
        <v>693.36</v>
      </c>
      <c r="P97" s="49">
        <v>2558.69</v>
      </c>
      <c r="Q97" s="23">
        <f>2922.14+1174.88</f>
        <v>4097.02</v>
      </c>
      <c r="R97" s="49">
        <v>94.2</v>
      </c>
      <c r="S97" s="104"/>
      <c r="T97" s="105"/>
    </row>
    <row r="98" spans="1:20" ht="12.75">
      <c r="A98" s="53" t="s">
        <v>86</v>
      </c>
      <c r="B98" s="54">
        <f>E98+H98+I98+N98</f>
        <v>15991.65</v>
      </c>
      <c r="C98" s="49">
        <v>3580.79</v>
      </c>
      <c r="D98" s="49"/>
      <c r="E98" s="49">
        <f>C98+D98</f>
        <v>3580.79</v>
      </c>
      <c r="F98" s="49"/>
      <c r="G98" s="55">
        <v>1.3</v>
      </c>
      <c r="H98" s="68">
        <v>1030</v>
      </c>
      <c r="I98" s="61">
        <v>5284.37</v>
      </c>
      <c r="J98" s="49">
        <v>121.5</v>
      </c>
      <c r="K98" s="100">
        <v>332</v>
      </c>
      <c r="L98" s="107"/>
      <c r="M98" s="104"/>
      <c r="N98" s="68">
        <f>O98+P98+Q98</f>
        <v>6096.49</v>
      </c>
      <c r="O98" s="49">
        <v>693.36</v>
      </c>
      <c r="P98" s="49">
        <v>2558.69</v>
      </c>
      <c r="Q98" s="23">
        <f>2028.75+815.69</f>
        <v>2844.44</v>
      </c>
      <c r="R98" s="49">
        <v>65.4</v>
      </c>
      <c r="S98" s="104"/>
      <c r="T98" s="105"/>
    </row>
    <row r="99" spans="1:20" ht="12.75">
      <c r="A99" s="53" t="s">
        <v>87</v>
      </c>
      <c r="B99" s="54">
        <f>E99+H99+I99+N99</f>
        <v>15521.91</v>
      </c>
      <c r="C99" s="49">
        <v>3580.79</v>
      </c>
      <c r="D99" s="49"/>
      <c r="E99" s="49">
        <f>C99+D99</f>
        <v>3580.79</v>
      </c>
      <c r="F99" s="49"/>
      <c r="G99" s="55">
        <v>1.3</v>
      </c>
      <c r="H99" s="68">
        <v>1030</v>
      </c>
      <c r="I99" s="49">
        <f>3694.55+1485.43</f>
        <v>5179.9800000000005</v>
      </c>
      <c r="J99" s="49">
        <v>119.1</v>
      </c>
      <c r="K99" s="100">
        <v>297</v>
      </c>
      <c r="L99" s="107"/>
      <c r="M99" s="104"/>
      <c r="N99" s="68">
        <f>O99+P99+Q99</f>
        <v>5731.14</v>
      </c>
      <c r="O99" s="49">
        <v>693.36</v>
      </c>
      <c r="P99" s="49">
        <v>2558.69</v>
      </c>
      <c r="Q99" s="58">
        <f>1768.17+710.92</f>
        <v>2479.09</v>
      </c>
      <c r="R99" s="49">
        <v>57</v>
      </c>
      <c r="S99" s="104"/>
      <c r="T99" s="105"/>
    </row>
    <row r="100" spans="1:20" ht="12.75">
      <c r="A100" s="53" t="s">
        <v>88</v>
      </c>
      <c r="B100" s="54">
        <f>E100+H100+I100+N100</f>
        <v>16835.4</v>
      </c>
      <c r="C100" s="49">
        <v>3580.79</v>
      </c>
      <c r="D100" s="49"/>
      <c r="E100" s="49">
        <f>C100+D100</f>
        <v>3580.79</v>
      </c>
      <c r="F100" s="49"/>
      <c r="G100" s="55">
        <v>1.3</v>
      </c>
      <c r="H100" s="68">
        <v>1030</v>
      </c>
      <c r="I100" s="49">
        <f>4203.29+1689.98</f>
        <v>5893.27</v>
      </c>
      <c r="J100" s="49">
        <v>135.5</v>
      </c>
      <c r="K100" s="100">
        <v>298</v>
      </c>
      <c r="L100" s="107"/>
      <c r="M100" s="104"/>
      <c r="N100" s="68">
        <f>O100+P100+Q100</f>
        <v>6331.34</v>
      </c>
      <c r="O100" s="49">
        <v>693.36</v>
      </c>
      <c r="P100" s="49">
        <v>2558.69</v>
      </c>
      <c r="Q100" s="61">
        <f>2196.26+883.03</f>
        <v>3079.29</v>
      </c>
      <c r="R100" s="49">
        <v>70.8</v>
      </c>
      <c r="S100" s="104"/>
      <c r="T100" s="105"/>
    </row>
    <row r="101" spans="1:20" ht="12.75">
      <c r="A101" s="53" t="s">
        <v>89</v>
      </c>
      <c r="B101" s="54">
        <f>E101+H101+I101+N101</f>
        <v>16513.55</v>
      </c>
      <c r="C101" s="49">
        <v>3580.79</v>
      </c>
      <c r="D101" s="49"/>
      <c r="E101" s="49">
        <f>C101+D101</f>
        <v>3580.79</v>
      </c>
      <c r="F101" s="49"/>
      <c r="G101" s="55">
        <v>1.3</v>
      </c>
      <c r="H101" s="68">
        <v>1030</v>
      </c>
      <c r="I101" s="61">
        <f>4190.88+1684.99</f>
        <v>5875.87</v>
      </c>
      <c r="J101" s="49">
        <v>135.1</v>
      </c>
      <c r="K101" s="100">
        <v>323</v>
      </c>
      <c r="L101" s="107"/>
      <c r="M101" s="104"/>
      <c r="N101" s="68">
        <f>O101+P101+Q101</f>
        <v>6026.89</v>
      </c>
      <c r="O101" s="49">
        <v>693.36</v>
      </c>
      <c r="P101" s="49">
        <v>2558.69</v>
      </c>
      <c r="Q101" s="49">
        <f>1979.12+795.72</f>
        <v>2774.84</v>
      </c>
      <c r="R101" s="49">
        <v>63.8</v>
      </c>
      <c r="S101" s="104"/>
      <c r="T101" s="105"/>
    </row>
    <row r="102" spans="1:20" ht="12.75">
      <c r="A102" s="53" t="s">
        <v>90</v>
      </c>
      <c r="B102" s="54">
        <f>E102+H102+I102+N102</f>
        <v>24172.64</v>
      </c>
      <c r="C102" s="49">
        <v>3580.79</v>
      </c>
      <c r="D102" s="49">
        <v>6123.79</v>
      </c>
      <c r="E102" s="49">
        <f>C102+D102</f>
        <v>9704.58</v>
      </c>
      <c r="F102" s="49">
        <v>140.8</v>
      </c>
      <c r="G102" s="55">
        <v>2.1</v>
      </c>
      <c r="H102" s="68">
        <v>1030</v>
      </c>
      <c r="I102" s="49">
        <v>4827.7</v>
      </c>
      <c r="J102" s="49">
        <v>111</v>
      </c>
      <c r="K102" s="100">
        <v>344</v>
      </c>
      <c r="L102" s="107"/>
      <c r="M102" s="104"/>
      <c r="N102" s="68">
        <f>O102+P102+Q102</f>
        <v>8610.36</v>
      </c>
      <c r="O102" s="49">
        <v>693.36</v>
      </c>
      <c r="P102" s="49">
        <v>2558.69</v>
      </c>
      <c r="Q102" s="49">
        <f>3821.73+1536.58</f>
        <v>5358.3099999999995</v>
      </c>
      <c r="R102" s="49">
        <v>123.2</v>
      </c>
      <c r="S102" s="104"/>
      <c r="T102" s="105"/>
    </row>
    <row r="103" spans="1:20" ht="12.75">
      <c r="A103" s="53" t="s">
        <v>91</v>
      </c>
      <c r="B103" s="54">
        <f>E103+H103+I103+N103</f>
        <v>28731.71</v>
      </c>
      <c r="C103" s="49">
        <v>3788.39</v>
      </c>
      <c r="D103" s="49">
        <v>8161.23</v>
      </c>
      <c r="E103" s="49">
        <f>C103+D103</f>
        <v>11949.619999999999</v>
      </c>
      <c r="F103" s="49">
        <v>178.7</v>
      </c>
      <c r="G103" s="55">
        <v>2.1</v>
      </c>
      <c r="H103" s="68">
        <v>1050</v>
      </c>
      <c r="I103" s="49">
        <v>5252.04</v>
      </c>
      <c r="J103" s="49">
        <v>115</v>
      </c>
      <c r="K103" s="106">
        <v>376</v>
      </c>
      <c r="L103" s="107"/>
      <c r="M103" s="104"/>
      <c r="N103" s="68">
        <f>O103+P103+Q103</f>
        <v>10480.05</v>
      </c>
      <c r="O103" s="49">
        <v>693.36</v>
      </c>
      <c r="P103" s="49">
        <f>1903.22+781.8</f>
        <v>2685.02</v>
      </c>
      <c r="Q103" s="49">
        <f>5135.47+1966.2</f>
        <v>7101.67</v>
      </c>
      <c r="R103" s="49">
        <v>155.5</v>
      </c>
      <c r="S103" s="104"/>
      <c r="T103" s="105"/>
    </row>
    <row r="104" spans="1:20" ht="12.75">
      <c r="A104" s="53" t="s">
        <v>92</v>
      </c>
      <c r="B104" s="51">
        <f>E104+H104+I104+N104</f>
        <v>36459.05</v>
      </c>
      <c r="C104" s="49">
        <v>3788.39</v>
      </c>
      <c r="D104" s="49">
        <v>13678.14</v>
      </c>
      <c r="E104" s="49">
        <f>C104+D104</f>
        <v>17466.53</v>
      </c>
      <c r="F104" s="49">
        <v>299.5</v>
      </c>
      <c r="G104" s="55">
        <v>2.1</v>
      </c>
      <c r="H104" s="68">
        <v>1050</v>
      </c>
      <c r="I104" s="49">
        <v>5252.04</v>
      </c>
      <c r="J104" s="49">
        <v>115</v>
      </c>
      <c r="K104" s="106">
        <v>339</v>
      </c>
      <c r="L104" s="107"/>
      <c r="M104" s="104"/>
      <c r="N104" s="68">
        <f>O104+P104+Q104</f>
        <v>12690.48</v>
      </c>
      <c r="O104" s="49">
        <v>693.36</v>
      </c>
      <c r="P104" s="49">
        <f>1903.22+781.8</f>
        <v>2685.02</v>
      </c>
      <c r="Q104" s="49">
        <f>6733.91+2578.19</f>
        <v>9312.1</v>
      </c>
      <c r="R104" s="49">
        <v>203.9</v>
      </c>
      <c r="S104" s="104"/>
      <c r="T104" s="105"/>
    </row>
    <row r="105" spans="1:20" ht="12.75">
      <c r="A105" s="73" t="s">
        <v>98</v>
      </c>
      <c r="B105" s="74">
        <f>SUM(B93:B104)</f>
        <v>301419.63</v>
      </c>
      <c r="C105" s="59">
        <f>SUM(C93:C104)</f>
        <v>43384.68000000001</v>
      </c>
      <c r="D105" s="59">
        <f>SUM(D93:D104)</f>
        <v>72143.14</v>
      </c>
      <c r="E105" s="77">
        <f>SUM(E93:E104)</f>
        <v>115527.81999999999</v>
      </c>
      <c r="F105" s="77">
        <f>SUM(F93:F104)</f>
        <v>1634.8000000000002</v>
      </c>
      <c r="G105" s="75">
        <f>SUM(G93:G104)</f>
        <v>21.200000000000006</v>
      </c>
      <c r="H105" s="59">
        <f>SUM(H93:H104)</f>
        <v>12400</v>
      </c>
      <c r="I105" s="59">
        <f>SUM(I93:I104)</f>
        <v>63452.18</v>
      </c>
      <c r="J105" s="108">
        <f>SUM(J93:J104)</f>
        <v>1447.4</v>
      </c>
      <c r="K105" s="108">
        <f>SUM(K93:K104)</f>
        <v>4370</v>
      </c>
      <c r="L105" s="108">
        <f>I105/K105</f>
        <v>14.519949656750573</v>
      </c>
      <c r="M105" s="108">
        <f>SUM(M93:M104)</f>
        <v>0</v>
      </c>
      <c r="N105" s="77">
        <f>SUM(N93:N104)</f>
        <v>110039.63</v>
      </c>
      <c r="O105" s="77">
        <f>SUM(O93:O104)</f>
        <v>8320.319999999998</v>
      </c>
      <c r="P105" s="77">
        <f>SUM(P93:P104)</f>
        <v>30956.94</v>
      </c>
      <c r="Q105" s="77">
        <f>SUM(Q93:Q104)</f>
        <v>70762.36999999998</v>
      </c>
      <c r="R105" s="77">
        <f>SUM(R93:R104)</f>
        <v>1609</v>
      </c>
      <c r="S105" s="109">
        <f>SUM(S93:S104)</f>
        <v>775</v>
      </c>
      <c r="T105" s="105"/>
    </row>
    <row r="106" spans="1:13" ht="12.75">
      <c r="A106" s="27"/>
      <c r="B106" s="27" t="s">
        <v>0</v>
      </c>
      <c r="C106" s="27" t="s">
        <v>116</v>
      </c>
      <c r="D106" s="27"/>
      <c r="E106" s="8">
        <v>6937.28</v>
      </c>
      <c r="F106" s="8"/>
      <c r="G106" s="27" t="s">
        <v>0</v>
      </c>
      <c r="H106" s="27" t="s">
        <v>117</v>
      </c>
      <c r="I106" s="110">
        <f>-272-33</f>
        <v>-305</v>
      </c>
      <c r="J106" s="110"/>
      <c r="K106" s="27"/>
      <c r="L106" s="27"/>
      <c r="M106" s="27"/>
    </row>
    <row r="107" spans="1:18" ht="12.75">
      <c r="A107" s="84"/>
      <c r="B107" s="84"/>
      <c r="C107" s="84" t="s">
        <v>118</v>
      </c>
      <c r="D107" s="84"/>
      <c r="E107" s="8">
        <v>-5041.8</v>
      </c>
      <c r="F107" s="86"/>
      <c r="G107" s="84"/>
      <c r="H107" s="84"/>
      <c r="I107" s="84"/>
      <c r="J107" s="84"/>
      <c r="K107" s="84"/>
      <c r="L107" s="84"/>
      <c r="M107" s="84"/>
      <c r="N107" t="s">
        <v>0</v>
      </c>
      <c r="R107" t="s">
        <v>0</v>
      </c>
    </row>
    <row r="108" spans="1:17" ht="12.75">
      <c r="A108" s="111"/>
      <c r="B108" s="80"/>
      <c r="C108" s="80"/>
      <c r="D108" s="80"/>
      <c r="E108" s="80">
        <f>SUM(E105:E107)</f>
        <v>117423.29999999999</v>
      </c>
      <c r="F108" s="82"/>
      <c r="G108" s="80"/>
      <c r="O108" s="23"/>
      <c r="P108" s="83"/>
      <c r="Q108" s="83"/>
    </row>
    <row r="109" spans="1:17" ht="12.75">
      <c r="A109" s="80"/>
      <c r="B109" s="80"/>
      <c r="C109" s="80"/>
      <c r="D109" s="80"/>
      <c r="E109" s="80"/>
      <c r="F109" s="82"/>
      <c r="G109" s="80"/>
      <c r="O109" s="23"/>
      <c r="P109" s="83"/>
      <c r="Q109" s="83"/>
    </row>
    <row r="112" spans="6:21" ht="12.75">
      <c r="F112" s="23"/>
      <c r="G112" s="23"/>
      <c r="N112" s="28" t="s">
        <v>125</v>
      </c>
      <c r="O112" s="27"/>
      <c r="P112" s="27"/>
      <c r="Q112" s="27"/>
      <c r="R112" s="27"/>
      <c r="S112" s="30" t="s">
        <v>72</v>
      </c>
      <c r="T112" s="31"/>
      <c r="U112" s="32" t="s">
        <v>73</v>
      </c>
    </row>
    <row r="113" spans="1:21" ht="12.75">
      <c r="A113" s="26"/>
      <c r="B113" s="27" t="s">
        <v>126</v>
      </c>
      <c r="C113" s="27"/>
      <c r="D113" s="27"/>
      <c r="E113" s="27"/>
      <c r="F113" s="27"/>
      <c r="G113" s="28" t="s">
        <v>70</v>
      </c>
      <c r="H113" s="29"/>
      <c r="N113" s="37" t="s">
        <v>77</v>
      </c>
      <c r="O113" s="38" t="s">
        <v>115</v>
      </c>
      <c r="P113" s="38" t="s">
        <v>79</v>
      </c>
      <c r="Q113" s="38" t="s">
        <v>80</v>
      </c>
      <c r="R113" s="39" t="s">
        <v>81</v>
      </c>
      <c r="S113" s="38" t="s">
        <v>82</v>
      </c>
      <c r="T113" s="40" t="s">
        <v>83</v>
      </c>
      <c r="U113" s="41"/>
    </row>
    <row r="114" spans="1:22" ht="12.75">
      <c r="A114" s="33"/>
      <c r="B114" s="30"/>
      <c r="C114" s="30"/>
      <c r="D114" s="34" t="s">
        <v>74</v>
      </c>
      <c r="E114" s="27"/>
      <c r="F114" s="27"/>
      <c r="G114" s="35" t="s">
        <v>75</v>
      </c>
      <c r="H114" s="36" t="s">
        <v>76</v>
      </c>
      <c r="N114" s="47">
        <f>O114+P114+Q114</f>
        <v>3251.79</v>
      </c>
      <c r="O114" s="48">
        <v>0</v>
      </c>
      <c r="P114" s="47">
        <v>0</v>
      </c>
      <c r="Q114" s="48">
        <v>3251.79</v>
      </c>
      <c r="R114" s="48">
        <v>75.7</v>
      </c>
      <c r="S114" s="115">
        <v>0</v>
      </c>
      <c r="T114" s="116">
        <f>S114*3901.4</f>
        <v>0</v>
      </c>
      <c r="U114" s="117" t="s">
        <v>86</v>
      </c>
      <c r="V114" s="23">
        <f>T114-N114</f>
        <v>-3251.79</v>
      </c>
    </row>
    <row r="115" spans="1:22" ht="12.75">
      <c r="A115" s="42" t="s">
        <v>73</v>
      </c>
      <c r="B115" s="43"/>
      <c r="C115" s="44" t="s">
        <v>79</v>
      </c>
      <c r="D115" s="44" t="s">
        <v>84</v>
      </c>
      <c r="E115" s="44"/>
      <c r="F115" s="44" t="s">
        <v>85</v>
      </c>
      <c r="G115" s="45"/>
      <c r="H115" s="46"/>
      <c r="N115" s="57">
        <f>O115+P115+Q115</f>
        <v>5121.93</v>
      </c>
      <c r="O115" s="65">
        <v>686.94</v>
      </c>
      <c r="P115" s="65">
        <v>2471.89</v>
      </c>
      <c r="Q115" s="61">
        <v>1963.1</v>
      </c>
      <c r="R115" s="65">
        <v>45.7</v>
      </c>
      <c r="S115" s="59">
        <v>2.4</v>
      </c>
      <c r="T115" s="54">
        <f>S115*3901.4</f>
        <v>9363.36</v>
      </c>
      <c r="U115" s="32" t="s">
        <v>87</v>
      </c>
      <c r="V115" s="23">
        <f>V114+T115-N115</f>
        <v>989.6400000000003</v>
      </c>
    </row>
    <row r="116" spans="1:22" ht="12.75">
      <c r="A116" s="53" t="s">
        <v>87</v>
      </c>
      <c r="B116" s="54"/>
      <c r="C116" s="49">
        <v>3404.35</v>
      </c>
      <c r="D116" s="49">
        <v>4313.92</v>
      </c>
      <c r="E116" s="49">
        <f>C116+D116</f>
        <v>7718.27</v>
      </c>
      <c r="F116" s="49"/>
      <c r="G116" s="55">
        <v>1.2</v>
      </c>
      <c r="H116" s="56">
        <f>G116*6756</f>
        <v>8107.2</v>
      </c>
      <c r="I116" s="23">
        <f>H116-E116</f>
        <v>388.9299999999994</v>
      </c>
      <c r="J116" s="23"/>
      <c r="N116" s="60">
        <f>O116+P116+Q116</f>
        <v>6019.719999999999</v>
      </c>
      <c r="O116" s="49">
        <v>686.94</v>
      </c>
      <c r="P116" s="49">
        <v>2471.89</v>
      </c>
      <c r="Q116" s="61">
        <f>2015.87+845.02</f>
        <v>2860.89</v>
      </c>
      <c r="R116" s="49">
        <v>66.6</v>
      </c>
      <c r="S116" s="54">
        <v>2.4</v>
      </c>
      <c r="T116" s="54">
        <f>S116*3901.4</f>
        <v>9363.36</v>
      </c>
      <c r="U116" s="62" t="s">
        <v>88</v>
      </c>
      <c r="V116" s="23">
        <f>V115+T116-N116</f>
        <v>4333.280000000001</v>
      </c>
    </row>
    <row r="117" spans="1:22" ht="12.75">
      <c r="A117" s="53" t="s">
        <v>88</v>
      </c>
      <c r="B117" s="54"/>
      <c r="C117" s="49">
        <v>3404.35</v>
      </c>
      <c r="D117" s="49"/>
      <c r="E117" s="49">
        <f>C117+D117</f>
        <v>3404.35</v>
      </c>
      <c r="F117" s="49"/>
      <c r="G117" s="55">
        <v>1.2</v>
      </c>
      <c r="H117" s="56">
        <f>G117*6756</f>
        <v>8107.2</v>
      </c>
      <c r="I117" s="23">
        <f>I116+H117-E117</f>
        <v>5091.779999999999</v>
      </c>
      <c r="J117" s="23"/>
      <c r="N117" s="60">
        <f>O117+P117+Q117</f>
        <v>6930.389999999999</v>
      </c>
      <c r="O117" s="49">
        <v>686.94</v>
      </c>
      <c r="P117" s="49">
        <v>2471.89</v>
      </c>
      <c r="Q117" s="49">
        <v>3771.56</v>
      </c>
      <c r="R117" s="49">
        <v>87.8</v>
      </c>
      <c r="S117" s="54">
        <v>2.4</v>
      </c>
      <c r="T117" s="54">
        <f>S117*3901.4</f>
        <v>9363.36</v>
      </c>
      <c r="U117" s="62" t="s">
        <v>89</v>
      </c>
      <c r="V117" s="23">
        <f>V116+T117-N117</f>
        <v>6766.250000000002</v>
      </c>
    </row>
    <row r="118" spans="1:22" ht="12.75">
      <c r="A118" s="53" t="s">
        <v>89</v>
      </c>
      <c r="B118" s="54"/>
      <c r="C118" s="49">
        <v>3404.35</v>
      </c>
      <c r="D118" s="49">
        <v>2787.86</v>
      </c>
      <c r="E118" s="49">
        <f>C118+D118</f>
        <v>6192.21</v>
      </c>
      <c r="F118" s="49">
        <v>64.9</v>
      </c>
      <c r="G118" s="55">
        <v>1.2</v>
      </c>
      <c r="H118" s="56">
        <f>G118*6756</f>
        <v>8107.2</v>
      </c>
      <c r="I118" s="23">
        <f>I117+H118-E118</f>
        <v>7006.7699999999995</v>
      </c>
      <c r="J118" s="23"/>
      <c r="N118" s="60">
        <f>O118+P118+Q118</f>
        <v>10130.619999999999</v>
      </c>
      <c r="O118" s="49">
        <v>686.94</v>
      </c>
      <c r="P118" s="49">
        <v>2471.89</v>
      </c>
      <c r="Q118" s="49">
        <f>4912.53+2059.26</f>
        <v>6971.79</v>
      </c>
      <c r="R118" s="49">
        <v>162.3</v>
      </c>
      <c r="S118" s="54">
        <v>2.4</v>
      </c>
      <c r="T118" s="54">
        <f>S118*3901.4</f>
        <v>9363.36</v>
      </c>
      <c r="U118" s="62" t="s">
        <v>90</v>
      </c>
      <c r="V118" s="23">
        <f>V117+T118-N118</f>
        <v>5998.990000000003</v>
      </c>
    </row>
    <row r="119" spans="1:22" ht="12.75">
      <c r="A119" s="53" t="s">
        <v>90</v>
      </c>
      <c r="B119" s="54"/>
      <c r="C119" s="49">
        <v>3404.35</v>
      </c>
      <c r="D119" s="49">
        <v>9510.5</v>
      </c>
      <c r="E119" s="49">
        <f>C119+D119</f>
        <v>12914.85</v>
      </c>
      <c r="F119" s="49">
        <v>221.4</v>
      </c>
      <c r="G119" s="55">
        <v>2</v>
      </c>
      <c r="H119" s="56">
        <f>G119*6756</f>
        <v>13512</v>
      </c>
      <c r="I119" s="23">
        <f>I118+H119-E119</f>
        <v>7603.92</v>
      </c>
      <c r="J119" s="23"/>
      <c r="N119" s="60">
        <f>O119+P119+Q119</f>
        <v>10100.560000000001</v>
      </c>
      <c r="O119" s="49">
        <v>686.94</v>
      </c>
      <c r="P119" s="49">
        <v>2471.89</v>
      </c>
      <c r="Q119" s="49">
        <f>4891.35+2050.38</f>
        <v>6941.7300000000005</v>
      </c>
      <c r="R119" s="49">
        <v>161.6</v>
      </c>
      <c r="S119" s="54">
        <v>2.4</v>
      </c>
      <c r="T119" s="54">
        <f>S119*3901.4</f>
        <v>9363.36</v>
      </c>
      <c r="U119" s="62" t="s">
        <v>91</v>
      </c>
      <c r="V119" s="23">
        <f>V118+T119-N119</f>
        <v>5261.790000000003</v>
      </c>
    </row>
    <row r="120" spans="1:22" ht="12.75">
      <c r="A120" s="53" t="s">
        <v>91</v>
      </c>
      <c r="B120" s="54"/>
      <c r="C120" s="49">
        <v>3404.35</v>
      </c>
      <c r="D120" s="49">
        <v>8659.98</v>
      </c>
      <c r="E120" s="49">
        <f>C120+D120</f>
        <v>12064.33</v>
      </c>
      <c r="F120" s="49">
        <v>201.6</v>
      </c>
      <c r="G120" s="55">
        <v>2</v>
      </c>
      <c r="H120" s="56">
        <f>G120*6756</f>
        <v>13512</v>
      </c>
      <c r="I120" s="23">
        <f>I119+H120-E120</f>
        <v>9051.589999999998</v>
      </c>
      <c r="J120" s="23"/>
      <c r="N120" s="68">
        <f>O120+P120+Q120</f>
        <v>15761.080000000002</v>
      </c>
      <c r="O120" s="49">
        <v>686.94</v>
      </c>
      <c r="P120" s="49">
        <f>1772.84+765.06</f>
        <v>2537.8999999999996</v>
      </c>
      <c r="Q120" s="49">
        <f>8941.29+3594.95</f>
        <v>12536.240000000002</v>
      </c>
      <c r="R120" s="49">
        <v>290.6</v>
      </c>
      <c r="S120" s="54">
        <v>2.4</v>
      </c>
      <c r="T120" s="54">
        <f>S120*3901.4</f>
        <v>9363.36</v>
      </c>
      <c r="U120" s="62" t="s">
        <v>92</v>
      </c>
      <c r="V120" s="23">
        <f>V119+T120-N120</f>
        <v>-1135.9299999999985</v>
      </c>
    </row>
    <row r="121" spans="1:22" ht="12.75">
      <c r="A121" s="53" t="s">
        <v>92</v>
      </c>
      <c r="B121" s="54"/>
      <c r="C121" s="49">
        <v>3493.3</v>
      </c>
      <c r="D121" s="49">
        <v>17825.12</v>
      </c>
      <c r="E121" s="49">
        <f>C121+D121</f>
        <v>21318.42</v>
      </c>
      <c r="F121" s="49">
        <v>513.2</v>
      </c>
      <c r="G121" s="55">
        <v>2</v>
      </c>
      <c r="H121" s="56">
        <f>G121*6756</f>
        <v>13512</v>
      </c>
      <c r="I121" s="23">
        <f>I120+H121-E121</f>
        <v>1245.1699999999983</v>
      </c>
      <c r="J121" s="23"/>
      <c r="N121" s="68">
        <f>O121+P121+Q121</f>
        <v>13877.349999999999</v>
      </c>
      <c r="O121" s="49">
        <v>693.36</v>
      </c>
      <c r="P121" s="69">
        <v>2558.69</v>
      </c>
      <c r="Q121" s="118">
        <v>10625.3</v>
      </c>
      <c r="R121" s="69">
        <v>244.3</v>
      </c>
      <c r="S121" s="54">
        <v>2.5</v>
      </c>
      <c r="T121" s="54">
        <f>S121*3901.4</f>
        <v>9753.5</v>
      </c>
      <c r="U121" s="70" t="s">
        <v>93</v>
      </c>
      <c r="V121" s="23">
        <f>V120+T121-N121</f>
        <v>-5259.779999999997</v>
      </c>
    </row>
    <row r="122" spans="1:22" ht="12.75">
      <c r="A122" s="53" t="s">
        <v>93</v>
      </c>
      <c r="B122" s="54"/>
      <c r="C122" s="49">
        <v>3580.79</v>
      </c>
      <c r="D122" s="49">
        <v>13247.9</v>
      </c>
      <c r="E122" s="69">
        <f>C122+D122</f>
        <v>16828.69</v>
      </c>
      <c r="F122" s="119">
        <v>304.6</v>
      </c>
      <c r="G122" s="55">
        <v>2.1</v>
      </c>
      <c r="H122" s="56">
        <f>G122*6756</f>
        <v>14187.6</v>
      </c>
      <c r="I122" s="23">
        <f>I121+H122-E122</f>
        <v>-1395.92</v>
      </c>
      <c r="J122" s="23"/>
      <c r="L122">
        <v>427.4</v>
      </c>
      <c r="N122" s="68">
        <f>O122+P122+Q122</f>
        <v>13890.39</v>
      </c>
      <c r="O122" s="49">
        <v>693.36</v>
      </c>
      <c r="P122" s="69">
        <v>2558.69</v>
      </c>
      <c r="Q122" s="118">
        <v>10638.34</v>
      </c>
      <c r="R122" s="69">
        <v>244.6</v>
      </c>
      <c r="S122" s="54">
        <v>2.5</v>
      </c>
      <c r="T122" s="54">
        <f>S122*3901.4</f>
        <v>9753.5</v>
      </c>
      <c r="U122" s="70" t="s">
        <v>94</v>
      </c>
      <c r="V122" s="23">
        <f>V121+T122-N122</f>
        <v>-9396.669999999996</v>
      </c>
    </row>
    <row r="123" spans="1:22" ht="12.75">
      <c r="A123" s="53" t="s">
        <v>94</v>
      </c>
      <c r="B123" s="54"/>
      <c r="C123" s="49">
        <v>3580.79</v>
      </c>
      <c r="D123" s="49">
        <v>16053.19</v>
      </c>
      <c r="E123" s="69">
        <f>C123+D123</f>
        <v>19633.98</v>
      </c>
      <c r="F123" s="119">
        <v>369.1</v>
      </c>
      <c r="G123" s="55">
        <v>2.1</v>
      </c>
      <c r="H123" s="56">
        <f>G123*6756</f>
        <v>14187.6</v>
      </c>
      <c r="I123" s="23">
        <f>I122+H123-E123</f>
        <v>-6842.299999999999</v>
      </c>
      <c r="J123" s="23"/>
      <c r="N123" s="68">
        <f>O123+P123+Q123</f>
        <v>11024.21</v>
      </c>
      <c r="O123" s="49">
        <v>693.36</v>
      </c>
      <c r="P123" s="69">
        <v>2558.69</v>
      </c>
      <c r="Q123" s="61">
        <f>5543.38+2228.78</f>
        <v>7772.16</v>
      </c>
      <c r="R123" s="49">
        <v>178.7</v>
      </c>
      <c r="S123" s="54">
        <v>2.5</v>
      </c>
      <c r="T123" s="54">
        <f>S123*3901.4</f>
        <v>9753.5</v>
      </c>
      <c r="U123" s="70" t="s">
        <v>95</v>
      </c>
      <c r="V123" s="23">
        <f>V122+T123-N123</f>
        <v>-10667.379999999996</v>
      </c>
    </row>
    <row r="124" spans="1:22" ht="12.75">
      <c r="A124" s="53" t="s">
        <v>95</v>
      </c>
      <c r="B124" s="54"/>
      <c r="C124" s="49">
        <v>3580.79</v>
      </c>
      <c r="D124" s="49">
        <v>10407.83</v>
      </c>
      <c r="E124" s="69">
        <f>C124+D124</f>
        <v>13988.619999999999</v>
      </c>
      <c r="F124" s="119">
        <v>239.3</v>
      </c>
      <c r="G124" s="55">
        <v>2.1</v>
      </c>
      <c r="H124" s="56">
        <f>G124*6756</f>
        <v>14187.6</v>
      </c>
      <c r="I124" s="23">
        <f>I123+H124-E124</f>
        <v>-6643.319999999998</v>
      </c>
      <c r="J124" s="23"/>
      <c r="N124" s="60">
        <f>O124+P124+Q124</f>
        <v>7931.86</v>
      </c>
      <c r="O124" s="49">
        <v>693.36</v>
      </c>
      <c r="P124" s="69">
        <v>2558.69</v>
      </c>
      <c r="Q124" s="61">
        <f>3337.81+1342</f>
        <v>4679.8099999999995</v>
      </c>
      <c r="R124" s="49">
        <v>107.6</v>
      </c>
      <c r="S124" s="54">
        <v>2.5</v>
      </c>
      <c r="T124" s="54">
        <f>S124*3901.4</f>
        <v>9753.5</v>
      </c>
      <c r="U124" s="70" t="s">
        <v>96</v>
      </c>
      <c r="V124" s="23">
        <f>V123+T124-N124</f>
        <v>-8845.739999999994</v>
      </c>
    </row>
    <row r="125" spans="1:22" ht="12.75">
      <c r="A125" s="53" t="s">
        <v>96</v>
      </c>
      <c r="B125" s="54"/>
      <c r="C125" s="49">
        <v>3580.79</v>
      </c>
      <c r="D125" s="54">
        <v>4471.06</v>
      </c>
      <c r="E125" s="49">
        <f>C125+D125</f>
        <v>8051.85</v>
      </c>
      <c r="F125" s="63">
        <v>102.8</v>
      </c>
      <c r="G125" s="55">
        <v>2.1</v>
      </c>
      <c r="H125" s="56">
        <f>G125*6756</f>
        <v>14187.6</v>
      </c>
      <c r="I125" s="23">
        <f>I124+H125-E125</f>
        <v>-507.5699999999979</v>
      </c>
      <c r="J125" s="23"/>
      <c r="N125" s="60">
        <f>O125+P125+Q125</f>
        <v>7349.070000000001</v>
      </c>
      <c r="O125" s="49">
        <v>693.36</v>
      </c>
      <c r="P125" s="69">
        <v>2558.69</v>
      </c>
      <c r="Q125" s="120">
        <f>2922.14+1174.88</f>
        <v>4097.02</v>
      </c>
      <c r="R125" s="69">
        <v>94.2</v>
      </c>
      <c r="S125" s="54">
        <v>2.5</v>
      </c>
      <c r="T125" s="54">
        <f>S125*3901.4</f>
        <v>9753.5</v>
      </c>
      <c r="U125" s="70" t="s">
        <v>97</v>
      </c>
      <c r="V125" s="23">
        <f>V124+T125-N125</f>
        <v>-6441.309999999995</v>
      </c>
    </row>
    <row r="126" spans="1:22" ht="12.75">
      <c r="A126" s="53" t="s">
        <v>97</v>
      </c>
      <c r="B126" s="54"/>
      <c r="C126" s="49">
        <v>3580.79</v>
      </c>
      <c r="D126" s="49"/>
      <c r="E126" s="49">
        <f>C126+D126</f>
        <v>3580.79</v>
      </c>
      <c r="F126" s="54"/>
      <c r="G126" s="55">
        <v>1.3</v>
      </c>
      <c r="H126" s="56">
        <f>G126*6756</f>
        <v>8782.800000000001</v>
      </c>
      <c r="I126" s="23">
        <f>I125+H126-E126</f>
        <v>4694.440000000003</v>
      </c>
      <c r="J126" s="23"/>
      <c r="N126" s="72">
        <f>O126+P126+Q126</f>
        <v>3252.05</v>
      </c>
      <c r="O126" s="49">
        <v>693.36</v>
      </c>
      <c r="P126" s="69">
        <v>2558.69</v>
      </c>
      <c r="Q126" s="121"/>
      <c r="R126" s="121"/>
      <c r="S126" s="51">
        <v>2.5</v>
      </c>
      <c r="T126" s="54">
        <f>S126*3901.4</f>
        <v>9753.5</v>
      </c>
      <c r="U126" s="52" t="s">
        <v>86</v>
      </c>
      <c r="V126" s="23">
        <f>V125+T126-N126</f>
        <v>60.140000000004875</v>
      </c>
    </row>
    <row r="127" spans="1:22" ht="12.75">
      <c r="A127" s="53" t="s">
        <v>86</v>
      </c>
      <c r="B127" s="54"/>
      <c r="C127" s="49">
        <v>3580.79</v>
      </c>
      <c r="D127" s="49"/>
      <c r="E127" s="49">
        <f>C127+D127</f>
        <v>3580.79</v>
      </c>
      <c r="F127" s="54"/>
      <c r="G127" s="55">
        <v>1.3</v>
      </c>
      <c r="H127" s="56">
        <f>G127*6756</f>
        <v>8782.800000000001</v>
      </c>
      <c r="I127" s="23">
        <f>I126+H127-E127</f>
        <v>9896.450000000004</v>
      </c>
      <c r="J127" s="23"/>
      <c r="N127" s="76">
        <f>SUM(N113:N126)</f>
        <v>114641.02</v>
      </c>
      <c r="O127" s="77">
        <f>SUM(O113:O126)</f>
        <v>8281.8</v>
      </c>
      <c r="P127" s="77">
        <f>SUM(P113:P126)</f>
        <v>30249.489999999994</v>
      </c>
      <c r="Q127" s="77">
        <f>SUM(Q113:Q126)</f>
        <v>76109.73</v>
      </c>
      <c r="R127" s="77">
        <f>SUM(R113:R126)</f>
        <v>1759.7</v>
      </c>
      <c r="S127" s="77">
        <f>SUM(S114:S126)</f>
        <v>29.4</v>
      </c>
      <c r="T127" s="77">
        <f>SUM(T113:T126)</f>
        <v>114701.16</v>
      </c>
      <c r="U127" s="78"/>
      <c r="V127" s="23"/>
    </row>
    <row r="128" spans="1:17" ht="12.75">
      <c r="A128" s="73" t="s">
        <v>98</v>
      </c>
      <c r="B128" s="74">
        <f>SUM(B116:B127)</f>
        <v>0</v>
      </c>
      <c r="C128" s="59">
        <f>SUM(C116:C127)</f>
        <v>41999.79</v>
      </c>
      <c r="D128" s="59">
        <f>SUM(D116:D127)</f>
        <v>87277.36</v>
      </c>
      <c r="E128" s="59">
        <f>SUM(E116:E127)</f>
        <v>129277.14999999998</v>
      </c>
      <c r="F128" s="59">
        <f>SUM(F116:F127)</f>
        <v>2016.9</v>
      </c>
      <c r="G128" s="75">
        <f>SUM(G116:G127)</f>
        <v>20.6</v>
      </c>
      <c r="H128" s="75">
        <f>SUM(H116:H127)</f>
        <v>139173.60000000003</v>
      </c>
      <c r="N128" s="23">
        <f>SUM(N114:N125)/3901.4/12</f>
        <v>2.3792521060815774</v>
      </c>
      <c r="Q128" s="23">
        <f>SUM(P127:Q127)</f>
        <v>106359.21999999999</v>
      </c>
    </row>
    <row r="129" spans="1:17" ht="12.75">
      <c r="A129" s="27"/>
      <c r="B129" s="27">
        <f>B128/6756/12</f>
        <v>0</v>
      </c>
      <c r="C129" s="27">
        <f>C128/E128</f>
        <v>0.3248817753176026</v>
      </c>
      <c r="D129" s="27">
        <f>D128/E128</f>
        <v>0.6751182246823976</v>
      </c>
      <c r="E129" s="27"/>
      <c r="F129" s="79">
        <f>F128/6756/12</f>
        <v>0.024877886323268206</v>
      </c>
      <c r="G129" s="27"/>
      <c r="N129" s="23"/>
      <c r="O129" s="23">
        <f>O127/77</f>
        <v>107.55584415584414</v>
      </c>
      <c r="P129" s="83">
        <f>P127/Q128</f>
        <v>0.2844087235690521</v>
      </c>
      <c r="Q129" s="83">
        <f>Q127/Q128</f>
        <v>0.7155912764309479</v>
      </c>
    </row>
    <row r="130" spans="1:17" ht="12.75">
      <c r="A130" s="111"/>
      <c r="B130" s="80"/>
      <c r="C130" s="80"/>
      <c r="D130" s="80"/>
      <c r="E130" s="80"/>
      <c r="F130" s="82"/>
      <c r="G130" s="80"/>
      <c r="O130" s="23"/>
      <c r="P130" s="83"/>
      <c r="Q130" s="83"/>
    </row>
    <row r="131" spans="1:17" ht="12.75">
      <c r="A131" s="80"/>
      <c r="B131" s="80"/>
      <c r="C131" s="80"/>
      <c r="D131" s="80"/>
      <c r="E131" s="80"/>
      <c r="F131" s="82"/>
      <c r="G131" s="80"/>
      <c r="O131" s="23"/>
      <c r="P131" s="83"/>
      <c r="Q131" s="83"/>
    </row>
    <row r="132" spans="1:20" ht="12.75">
      <c r="A132" s="26">
        <v>2010</v>
      </c>
      <c r="B132" s="27" t="s">
        <v>103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36" t="s">
        <v>104</v>
      </c>
      <c r="N132" s="28" t="s">
        <v>123</v>
      </c>
      <c r="O132" s="27"/>
      <c r="P132" s="27"/>
      <c r="Q132" s="27"/>
      <c r="R132" s="27"/>
      <c r="S132" s="36" t="s">
        <v>106</v>
      </c>
      <c r="T132" s="84"/>
    </row>
    <row r="133" spans="1:20" ht="12.75">
      <c r="A133" s="33"/>
      <c r="B133" s="30"/>
      <c r="C133" s="30"/>
      <c r="D133" s="34" t="s">
        <v>74</v>
      </c>
      <c r="E133" s="27"/>
      <c r="F133" s="27"/>
      <c r="G133" s="88"/>
      <c r="H133" s="27"/>
      <c r="I133" s="27" t="s">
        <v>107</v>
      </c>
      <c r="J133" s="27"/>
      <c r="K133" s="27"/>
      <c r="L133" s="27"/>
      <c r="M133" s="89" t="s">
        <v>108</v>
      </c>
      <c r="N133" s="90"/>
      <c r="O133" s="30" t="s">
        <v>78</v>
      </c>
      <c r="P133" s="30"/>
      <c r="Q133" s="30"/>
      <c r="R133" s="30"/>
      <c r="S133" s="89" t="s">
        <v>109</v>
      </c>
      <c r="T133" s="84"/>
    </row>
    <row r="134" spans="1:20" ht="12.75">
      <c r="A134" s="42" t="s">
        <v>73</v>
      </c>
      <c r="B134" s="43" t="s">
        <v>110</v>
      </c>
      <c r="C134" s="44" t="s">
        <v>79</v>
      </c>
      <c r="D134" s="44" t="s">
        <v>84</v>
      </c>
      <c r="E134" s="44" t="s">
        <v>111</v>
      </c>
      <c r="F134" s="44" t="s">
        <v>85</v>
      </c>
      <c r="G134" s="55" t="s">
        <v>124</v>
      </c>
      <c r="H134" s="91" t="s">
        <v>79</v>
      </c>
      <c r="I134" s="44" t="s">
        <v>80</v>
      </c>
      <c r="J134" s="44" t="s">
        <v>112</v>
      </c>
      <c r="K134" s="44" t="s">
        <v>113</v>
      </c>
      <c r="L134" s="92" t="s">
        <v>114</v>
      </c>
      <c r="M134" s="46" t="s">
        <v>39</v>
      </c>
      <c r="N134" s="93" t="s">
        <v>77</v>
      </c>
      <c r="O134" s="94" t="s">
        <v>115</v>
      </c>
      <c r="P134" s="95" t="s">
        <v>79</v>
      </c>
      <c r="Q134" s="95" t="s">
        <v>80</v>
      </c>
      <c r="R134" s="95" t="s">
        <v>81</v>
      </c>
      <c r="S134" s="96" t="s">
        <v>39</v>
      </c>
      <c r="T134" s="97"/>
    </row>
    <row r="135" spans="1:21" ht="12.75">
      <c r="A135" s="98" t="s">
        <v>93</v>
      </c>
      <c r="B135" s="59">
        <f>E135+H135+I135+N135</f>
        <v>51175.06</v>
      </c>
      <c r="C135" s="49">
        <v>3404.35</v>
      </c>
      <c r="D135" s="49">
        <v>24094.14</v>
      </c>
      <c r="E135" s="49">
        <f>C135+D135</f>
        <v>27498.489999999998</v>
      </c>
      <c r="F135" s="63">
        <v>560.9</v>
      </c>
      <c r="G135" s="99">
        <v>2</v>
      </c>
      <c r="H135" s="64">
        <v>1050</v>
      </c>
      <c r="I135" s="61">
        <v>5154.74</v>
      </c>
      <c r="J135" s="65">
        <v>120</v>
      </c>
      <c r="K135" s="100">
        <v>376</v>
      </c>
      <c r="L135" s="114"/>
      <c r="M135" s="101">
        <v>953</v>
      </c>
      <c r="N135" s="64">
        <f>O135+P135+Q135</f>
        <v>17471.83</v>
      </c>
      <c r="O135" s="65">
        <v>686.94</v>
      </c>
      <c r="P135" s="65">
        <f>1715.93+755.96</f>
        <v>2471.8900000000003</v>
      </c>
      <c r="Q135" s="61">
        <f>10085.36+4227.64</f>
        <v>14313</v>
      </c>
      <c r="R135" s="65">
        <v>333.2</v>
      </c>
      <c r="S135" s="101">
        <f>334+22+31</f>
        <v>387</v>
      </c>
      <c r="T135" s="102"/>
      <c r="U135" s="103" t="s">
        <v>0</v>
      </c>
    </row>
    <row r="136" spans="1:20" ht="12.75">
      <c r="A136" s="53" t="s">
        <v>94</v>
      </c>
      <c r="B136" s="54">
        <f>E136+H136+I136+N136</f>
        <v>37811.39</v>
      </c>
      <c r="C136" s="49">
        <v>3404.35</v>
      </c>
      <c r="D136" s="49">
        <v>15056.15</v>
      </c>
      <c r="E136" s="49">
        <f>C136+D136</f>
        <v>18460.5</v>
      </c>
      <c r="F136" s="63">
        <v>350.5</v>
      </c>
      <c r="G136" s="55">
        <v>2</v>
      </c>
      <c r="H136" s="68">
        <v>1050</v>
      </c>
      <c r="I136" s="61">
        <v>5154.74</v>
      </c>
      <c r="J136" s="49">
        <v>120</v>
      </c>
      <c r="K136" s="100">
        <v>342</v>
      </c>
      <c r="L136" s="107"/>
      <c r="M136" s="104">
        <v>901</v>
      </c>
      <c r="N136" s="68">
        <f>O136+P136+Q136</f>
        <v>13146.15</v>
      </c>
      <c r="O136" s="49">
        <v>686.94</v>
      </c>
      <c r="P136" s="49">
        <v>2471.89</v>
      </c>
      <c r="Q136" s="61">
        <f>7037.36+2949.96</f>
        <v>9987.32</v>
      </c>
      <c r="R136" s="49">
        <v>232.5</v>
      </c>
      <c r="S136" s="104">
        <f>433+35+39</f>
        <v>507</v>
      </c>
      <c r="T136" s="105"/>
    </row>
    <row r="137" spans="1:20" ht="12.75">
      <c r="A137" s="53" t="s">
        <v>95</v>
      </c>
      <c r="B137" s="54">
        <f>E137+H137+I137+N137</f>
        <v>32708.199999999997</v>
      </c>
      <c r="C137" s="49">
        <v>3404.35</v>
      </c>
      <c r="D137" s="49">
        <v>12057.81</v>
      </c>
      <c r="E137" s="49">
        <f>C137+D137</f>
        <v>15462.16</v>
      </c>
      <c r="F137" s="63">
        <v>280.7</v>
      </c>
      <c r="G137" s="55">
        <v>2</v>
      </c>
      <c r="H137" s="68">
        <v>1050</v>
      </c>
      <c r="I137" s="61">
        <v>4725.18</v>
      </c>
      <c r="J137" s="49">
        <v>110</v>
      </c>
      <c r="K137" s="100">
        <v>306</v>
      </c>
      <c r="L137" s="107"/>
      <c r="M137" s="104">
        <v>778</v>
      </c>
      <c r="N137" s="68">
        <f>O137+P137+Q137</f>
        <v>11470.859999999999</v>
      </c>
      <c r="O137" s="49">
        <v>686.94</v>
      </c>
      <c r="P137" s="49">
        <v>2471.89</v>
      </c>
      <c r="Q137" s="61">
        <f>5856.9+2455.13</f>
        <v>8312.029999999999</v>
      </c>
      <c r="R137" s="49">
        <v>193.5</v>
      </c>
      <c r="S137" s="104">
        <f>369+36+38</f>
        <v>443</v>
      </c>
      <c r="T137" s="105"/>
    </row>
    <row r="138" spans="1:20" ht="12.75">
      <c r="A138" s="53" t="s">
        <v>96</v>
      </c>
      <c r="B138" s="54">
        <f>E138+H138+I138+N138</f>
        <v>24696.870000000003</v>
      </c>
      <c r="C138" s="49">
        <v>3404.35</v>
      </c>
      <c r="D138" s="54">
        <v>6911.66</v>
      </c>
      <c r="E138" s="49">
        <f>C138+D138</f>
        <v>10316.01</v>
      </c>
      <c r="F138" s="63">
        <v>160.9</v>
      </c>
      <c r="G138" s="55">
        <v>2</v>
      </c>
      <c r="H138" s="68">
        <v>1050</v>
      </c>
      <c r="I138" s="61">
        <v>4939.96</v>
      </c>
      <c r="J138" s="49">
        <v>115</v>
      </c>
      <c r="K138" s="100">
        <v>322</v>
      </c>
      <c r="L138" s="107"/>
      <c r="M138" s="104">
        <v>808</v>
      </c>
      <c r="N138" s="68">
        <f>O138+P138+Q138</f>
        <v>8390.9</v>
      </c>
      <c r="O138" s="49">
        <v>686.94</v>
      </c>
      <c r="P138" s="49">
        <v>2471.89</v>
      </c>
      <c r="Q138" s="61">
        <f>3686.67+1545.4</f>
        <v>5232.07</v>
      </c>
      <c r="R138" s="49">
        <v>121.8</v>
      </c>
      <c r="S138" s="104">
        <f>336+34+42</f>
        <v>412</v>
      </c>
      <c r="T138" s="105"/>
    </row>
    <row r="139" spans="1:20" ht="12.75">
      <c r="A139" s="53" t="s">
        <v>97</v>
      </c>
      <c r="B139" s="54">
        <f>E139+H139+I139+N139</f>
        <v>20422.72</v>
      </c>
      <c r="C139" s="49">
        <v>3404.35</v>
      </c>
      <c r="D139" s="49">
        <v>3969.15</v>
      </c>
      <c r="E139" s="49">
        <f>C139+D139</f>
        <v>7373.5</v>
      </c>
      <c r="F139" s="49">
        <v>92.4</v>
      </c>
      <c r="G139" s="55">
        <v>2</v>
      </c>
      <c r="H139" s="68">
        <v>1050</v>
      </c>
      <c r="I139" s="61">
        <v>4725.18</v>
      </c>
      <c r="J139" s="49">
        <v>110</v>
      </c>
      <c r="K139" s="100">
        <v>323</v>
      </c>
      <c r="L139" s="107"/>
      <c r="M139" s="104">
        <v>809</v>
      </c>
      <c r="N139" s="68">
        <f>O139+P139+Q139</f>
        <v>7274.04</v>
      </c>
      <c r="O139" s="49">
        <v>686.94</v>
      </c>
      <c r="P139" s="49">
        <v>2471.89</v>
      </c>
      <c r="Q139" s="23">
        <f>2899.7+1215.51</f>
        <v>4115.21</v>
      </c>
      <c r="R139" s="49">
        <v>95.8</v>
      </c>
      <c r="S139" s="104">
        <v>408</v>
      </c>
      <c r="T139" s="105"/>
    </row>
    <row r="140" spans="1:20" ht="12.75">
      <c r="A140" s="53" t="s">
        <v>86</v>
      </c>
      <c r="B140" s="54">
        <f>E140+H140+I140+N140</f>
        <v>18476.8</v>
      </c>
      <c r="C140" s="49">
        <v>3404.35</v>
      </c>
      <c r="D140" s="49">
        <v>0</v>
      </c>
      <c r="E140" s="49">
        <f>C140+D140</f>
        <v>3404.35</v>
      </c>
      <c r="F140" s="49">
        <v>0</v>
      </c>
      <c r="G140" s="55">
        <v>1.2</v>
      </c>
      <c r="H140" s="68">
        <v>1050</v>
      </c>
      <c r="I140" s="61">
        <v>7611.83</v>
      </c>
      <c r="J140" s="49">
        <v>177.2</v>
      </c>
      <c r="K140" s="100">
        <v>327</v>
      </c>
      <c r="L140" s="107"/>
      <c r="M140" s="104">
        <v>884</v>
      </c>
      <c r="N140" s="68">
        <f>O140+P140+Q140</f>
        <v>6410.62</v>
      </c>
      <c r="O140" s="49">
        <v>686.94</v>
      </c>
      <c r="P140" s="49">
        <v>2471.89</v>
      </c>
      <c r="Q140" s="23">
        <v>3251.79</v>
      </c>
      <c r="R140" s="49">
        <v>75.7</v>
      </c>
      <c r="S140" s="104">
        <v>464</v>
      </c>
      <c r="T140" s="105"/>
    </row>
    <row r="141" spans="1:20" ht="12.75">
      <c r="A141" s="53" t="s">
        <v>87</v>
      </c>
      <c r="B141" s="54">
        <f>E141+H141+I141+N141</f>
        <v>13674.300000000001</v>
      </c>
      <c r="C141" s="49">
        <v>3404.35</v>
      </c>
      <c r="D141" s="49">
        <v>0</v>
      </c>
      <c r="E141" s="49">
        <f>C141+D141</f>
        <v>3404.35</v>
      </c>
      <c r="F141" s="49">
        <v>0</v>
      </c>
      <c r="G141" s="55">
        <v>1.2</v>
      </c>
      <c r="H141" s="68">
        <v>1050</v>
      </c>
      <c r="I141" s="49">
        <f>2887.58+1210.44</f>
        <v>4098.02</v>
      </c>
      <c r="J141" s="49">
        <v>95.4</v>
      </c>
      <c r="K141" s="100">
        <v>368</v>
      </c>
      <c r="L141" s="107"/>
      <c r="M141" s="104">
        <v>971</v>
      </c>
      <c r="N141" s="68">
        <f>O141+P141+Q141</f>
        <v>5121.93</v>
      </c>
      <c r="O141" s="49">
        <v>686.94</v>
      </c>
      <c r="P141" s="49">
        <v>2471.89</v>
      </c>
      <c r="Q141" s="58">
        <f>1383.26+579.84</f>
        <v>1963.1</v>
      </c>
      <c r="R141" s="49">
        <v>45.7</v>
      </c>
      <c r="S141" s="104">
        <v>391</v>
      </c>
      <c r="T141" s="105"/>
    </row>
    <row r="142" spans="1:20" ht="12.75">
      <c r="A142" s="53" t="s">
        <v>88</v>
      </c>
      <c r="B142" s="54">
        <f>E142+H142+I142+N142</f>
        <v>17896.91</v>
      </c>
      <c r="C142" s="49">
        <v>3404.35</v>
      </c>
      <c r="D142" s="49"/>
      <c r="E142" s="49">
        <f>C142+D142</f>
        <v>3404.35</v>
      </c>
      <c r="F142" s="49">
        <v>0</v>
      </c>
      <c r="G142" s="55">
        <v>1.2</v>
      </c>
      <c r="H142" s="68">
        <v>1050</v>
      </c>
      <c r="I142" s="61">
        <f>5230.35+2192.49</f>
        <v>7422.84</v>
      </c>
      <c r="J142" s="49">
        <v>172.8</v>
      </c>
      <c r="K142" s="100">
        <v>264</v>
      </c>
      <c r="L142" s="107"/>
      <c r="M142" s="104">
        <v>886</v>
      </c>
      <c r="N142" s="68">
        <f>O142+P142+Q142</f>
        <v>6019.719999999999</v>
      </c>
      <c r="O142" s="49">
        <v>686.94</v>
      </c>
      <c r="P142" s="49">
        <v>2471.89</v>
      </c>
      <c r="Q142" s="61">
        <f>2015.87+845.02</f>
        <v>2860.89</v>
      </c>
      <c r="R142" s="49">
        <v>66.6</v>
      </c>
      <c r="S142" s="104">
        <v>370</v>
      </c>
      <c r="T142" s="105"/>
    </row>
    <row r="143" spans="1:20" ht="12.75">
      <c r="A143" s="53" t="s">
        <v>89</v>
      </c>
      <c r="B143" s="54">
        <f>E143+H143+I143+N143</f>
        <v>19327.34</v>
      </c>
      <c r="C143" s="49">
        <v>3404.35</v>
      </c>
      <c r="D143" s="49">
        <v>2787.86</v>
      </c>
      <c r="E143" s="49">
        <f>C143+D143</f>
        <v>6192.21</v>
      </c>
      <c r="F143" s="49">
        <v>64.9</v>
      </c>
      <c r="G143" s="55">
        <v>1.2</v>
      </c>
      <c r="H143" s="68">
        <v>1050</v>
      </c>
      <c r="I143" s="61">
        <v>5154.74</v>
      </c>
      <c r="J143" s="49">
        <v>120</v>
      </c>
      <c r="K143" s="100">
        <v>295</v>
      </c>
      <c r="L143" s="107"/>
      <c r="M143" s="104">
        <v>889</v>
      </c>
      <c r="N143" s="68">
        <f>O143+P143+Q143</f>
        <v>6930.389999999999</v>
      </c>
      <c r="O143" s="49">
        <v>686.94</v>
      </c>
      <c r="P143" s="49">
        <v>2471.89</v>
      </c>
      <c r="Q143" s="49">
        <v>3771.56</v>
      </c>
      <c r="R143" s="49">
        <v>87.8</v>
      </c>
      <c r="S143" s="104">
        <v>387</v>
      </c>
      <c r="T143" s="105"/>
    </row>
    <row r="144" spans="1:20" ht="12.75">
      <c r="A144" s="53" t="s">
        <v>90</v>
      </c>
      <c r="B144" s="54">
        <f>E144+H144+I144+N144</f>
        <v>29250.21</v>
      </c>
      <c r="C144" s="49">
        <v>3404.35</v>
      </c>
      <c r="D144" s="49">
        <v>9510.5</v>
      </c>
      <c r="E144" s="49">
        <f>C144+D144</f>
        <v>12914.85</v>
      </c>
      <c r="F144" s="49">
        <v>221.4</v>
      </c>
      <c r="G144" s="55">
        <v>2</v>
      </c>
      <c r="H144" s="68">
        <v>1050</v>
      </c>
      <c r="I144" s="49">
        <v>5154.74</v>
      </c>
      <c r="J144" s="49">
        <v>120</v>
      </c>
      <c r="K144" s="100">
        <v>338</v>
      </c>
      <c r="L144" s="107"/>
      <c r="M144" s="104">
        <v>955</v>
      </c>
      <c r="N144" s="68">
        <f>O144+P144+Q144</f>
        <v>10130.619999999999</v>
      </c>
      <c r="O144" s="49">
        <v>686.94</v>
      </c>
      <c r="P144" s="49">
        <v>2471.89</v>
      </c>
      <c r="Q144" s="49">
        <f>4912.53+2059.26</f>
        <v>6971.79</v>
      </c>
      <c r="R144" s="49">
        <v>162.3</v>
      </c>
      <c r="S144" s="104">
        <v>405</v>
      </c>
      <c r="T144" s="105"/>
    </row>
    <row r="145" spans="1:20" ht="12.75">
      <c r="A145" s="53" t="s">
        <v>91</v>
      </c>
      <c r="B145" s="54">
        <f>E145+H145+I145+N145</f>
        <v>28369.63</v>
      </c>
      <c r="C145" s="49">
        <v>3404.35</v>
      </c>
      <c r="D145" s="49">
        <v>8659.98</v>
      </c>
      <c r="E145" s="49">
        <f>C145+D145</f>
        <v>12064.33</v>
      </c>
      <c r="F145" s="49">
        <v>201.6</v>
      </c>
      <c r="G145" s="55">
        <v>2</v>
      </c>
      <c r="H145" s="68">
        <v>1050</v>
      </c>
      <c r="I145" s="49">
        <v>5154.74</v>
      </c>
      <c r="J145" s="49">
        <v>120</v>
      </c>
      <c r="K145" s="100">
        <v>333</v>
      </c>
      <c r="L145" s="107"/>
      <c r="M145" s="104">
        <v>879</v>
      </c>
      <c r="N145" s="68">
        <f>O145+P145+Q145</f>
        <v>10100.560000000001</v>
      </c>
      <c r="O145" s="49">
        <v>686.94</v>
      </c>
      <c r="P145" s="49">
        <v>2471.89</v>
      </c>
      <c r="Q145" s="49">
        <f>4891.35+2050.38</f>
        <v>6941.7300000000005</v>
      </c>
      <c r="R145" s="49">
        <v>161.6</v>
      </c>
      <c r="S145" s="104">
        <v>439</v>
      </c>
      <c r="T145" s="105"/>
    </row>
    <row r="146" spans="1:20" ht="12.75">
      <c r="A146" s="53" t="s">
        <v>92</v>
      </c>
      <c r="B146" s="51">
        <f>E146+H146+I146+N146</f>
        <v>43336.2</v>
      </c>
      <c r="C146" s="49">
        <v>3493.3</v>
      </c>
      <c r="D146" s="49">
        <v>17825.12</v>
      </c>
      <c r="E146" s="49">
        <f>C146+D146</f>
        <v>21318.42</v>
      </c>
      <c r="F146" s="49">
        <v>513.2</v>
      </c>
      <c r="G146" s="55">
        <v>2</v>
      </c>
      <c r="H146" s="68">
        <v>1080</v>
      </c>
      <c r="I146" s="49">
        <v>5176.7</v>
      </c>
      <c r="J146" s="49">
        <v>120</v>
      </c>
      <c r="K146" s="100">
        <v>344</v>
      </c>
      <c r="L146" s="107"/>
      <c r="M146" s="104">
        <v>830</v>
      </c>
      <c r="N146" s="68">
        <f>O146+P146+Q146</f>
        <v>15761.080000000002</v>
      </c>
      <c r="O146" s="49">
        <v>686.94</v>
      </c>
      <c r="P146" s="49">
        <f>1772.84+765.06</f>
        <v>2537.8999999999996</v>
      </c>
      <c r="Q146" s="49">
        <f>8941.29+3594.95</f>
        <v>12536.240000000002</v>
      </c>
      <c r="R146" s="49">
        <v>290.6</v>
      </c>
      <c r="S146" s="104">
        <v>392</v>
      </c>
      <c r="T146" s="105"/>
    </row>
    <row r="147" spans="1:20" ht="12.75">
      <c r="A147" s="73" t="s">
        <v>98</v>
      </c>
      <c r="B147" s="74">
        <f>SUM(B135:B146)</f>
        <v>337145.62999999995</v>
      </c>
      <c r="C147" s="59">
        <f>SUM(C135:C146)</f>
        <v>40941.149999999994</v>
      </c>
      <c r="D147" s="59"/>
      <c r="E147" s="77">
        <f>SUM(E135:E146)</f>
        <v>141813.52000000002</v>
      </c>
      <c r="F147" s="77">
        <f>SUM(F135:F146)</f>
        <v>2446.5</v>
      </c>
      <c r="G147" s="75">
        <f>SUM(G135:G146)</f>
        <v>20.799999999999997</v>
      </c>
      <c r="H147" s="59">
        <f>SUM(H135:H146)</f>
        <v>12630</v>
      </c>
      <c r="I147" s="59">
        <f>SUM(I135:I146)</f>
        <v>64473.40999999999</v>
      </c>
      <c r="J147" s="108">
        <f>SUM(J135:J146)</f>
        <v>1500.4</v>
      </c>
      <c r="K147" s="108">
        <f>SUM(K135:K146)</f>
        <v>3938</v>
      </c>
      <c r="L147" s="108">
        <f>I147/K147</f>
        <v>16.37212036566785</v>
      </c>
      <c r="M147" s="108">
        <f>SUM(M135:M146)</f>
        <v>10543</v>
      </c>
      <c r="N147" s="77">
        <f>SUM(N135:N146)</f>
        <v>118228.7</v>
      </c>
      <c r="O147" s="77">
        <f>SUM(O135:O146)</f>
        <v>8243.280000000002</v>
      </c>
      <c r="P147" s="77">
        <f>SUM(P135:P146)</f>
        <v>29728.689999999995</v>
      </c>
      <c r="Q147" s="77">
        <f>SUM(Q135:Q146)</f>
        <v>80256.73</v>
      </c>
      <c r="R147" s="77">
        <f>SUM(R135:R146)</f>
        <v>1867.1000000000001</v>
      </c>
      <c r="S147" s="109">
        <f>SUM(S135:S146)</f>
        <v>5005</v>
      </c>
      <c r="T147" s="105"/>
    </row>
    <row r="148" spans="1:13" ht="12.75">
      <c r="A148" s="27"/>
      <c r="B148" s="27" t="s">
        <v>0</v>
      </c>
      <c r="C148" s="27" t="s">
        <v>116</v>
      </c>
      <c r="D148" s="27"/>
      <c r="E148" s="122"/>
      <c r="F148" s="8"/>
      <c r="G148" s="27" t="s">
        <v>0</v>
      </c>
      <c r="H148" s="27" t="s">
        <v>117</v>
      </c>
      <c r="I148" s="110"/>
      <c r="J148" s="110"/>
      <c r="K148" s="27"/>
      <c r="L148" s="27"/>
      <c r="M148" s="27"/>
    </row>
    <row r="149" spans="1:18" ht="12.75">
      <c r="A149" s="84"/>
      <c r="B149" s="84"/>
      <c r="C149" s="84" t="s">
        <v>118</v>
      </c>
      <c r="D149" s="84"/>
      <c r="E149" s="85"/>
      <c r="F149" s="86"/>
      <c r="G149" s="84"/>
      <c r="H149" s="84"/>
      <c r="I149" s="84"/>
      <c r="J149" s="84"/>
      <c r="K149" s="84"/>
      <c r="L149" s="84"/>
      <c r="M149" s="84"/>
      <c r="N149" t="s">
        <v>0</v>
      </c>
      <c r="R149" t="s">
        <v>0</v>
      </c>
    </row>
    <row r="150" spans="14:21" ht="12.75">
      <c r="N150" s="28" t="s">
        <v>127</v>
      </c>
      <c r="O150" s="27"/>
      <c r="P150" s="27"/>
      <c r="Q150" s="27"/>
      <c r="R150" s="27"/>
      <c r="S150" s="30" t="s">
        <v>72</v>
      </c>
      <c r="T150" s="31"/>
      <c r="U150" s="32" t="s">
        <v>73</v>
      </c>
    </row>
    <row r="151" spans="6:21" ht="12.75">
      <c r="F151" s="23"/>
      <c r="G151" s="23"/>
      <c r="N151" s="37" t="s">
        <v>77</v>
      </c>
      <c r="O151" s="38" t="s">
        <v>115</v>
      </c>
      <c r="P151" s="38" t="s">
        <v>79</v>
      </c>
      <c r="Q151" s="38" t="s">
        <v>80</v>
      </c>
      <c r="R151" s="39" t="s">
        <v>81</v>
      </c>
      <c r="S151" s="38" t="s">
        <v>82</v>
      </c>
      <c r="T151" s="40" t="s">
        <v>83</v>
      </c>
      <c r="U151" s="41"/>
    </row>
    <row r="152" spans="1:22" ht="12.75">
      <c r="A152" s="26"/>
      <c r="B152" s="27" t="s">
        <v>128</v>
      </c>
      <c r="C152" s="27"/>
      <c r="D152" s="27"/>
      <c r="E152" s="27"/>
      <c r="F152" s="27"/>
      <c r="G152" s="28" t="s">
        <v>70</v>
      </c>
      <c r="H152" s="29"/>
      <c r="N152" s="47">
        <f>O152+P152+Q152</f>
        <v>11571.34</v>
      </c>
      <c r="O152" s="48">
        <v>577.8</v>
      </c>
      <c r="P152" s="47">
        <v>2271.33</v>
      </c>
      <c r="Q152" s="48">
        <f>6096.11+2626.1</f>
        <v>8722.21</v>
      </c>
      <c r="R152" s="48">
        <v>224.4</v>
      </c>
      <c r="S152" s="115">
        <v>2.3</v>
      </c>
      <c r="T152" s="116">
        <f>S152*3901.4</f>
        <v>8973.22</v>
      </c>
      <c r="U152" s="117" t="s">
        <v>92</v>
      </c>
      <c r="V152" s="23">
        <f>T152-N152</f>
        <v>-2598.120000000001</v>
      </c>
    </row>
    <row r="153" spans="1:22" ht="12.75">
      <c r="A153" s="33"/>
      <c r="B153" s="30"/>
      <c r="C153" s="30"/>
      <c r="D153" s="34" t="s">
        <v>74</v>
      </c>
      <c r="E153" s="27"/>
      <c r="F153" s="27"/>
      <c r="G153" s="35" t="s">
        <v>75</v>
      </c>
      <c r="H153" s="36" t="s">
        <v>76</v>
      </c>
      <c r="N153" s="57">
        <f>O153+P153+Q153</f>
        <v>14188</v>
      </c>
      <c r="O153" s="65">
        <v>577.8</v>
      </c>
      <c r="P153" s="65">
        <v>2271.33</v>
      </c>
      <c r="Q153" s="61">
        <v>11338.87</v>
      </c>
      <c r="R153" s="65">
        <v>287.3</v>
      </c>
      <c r="S153" s="59">
        <v>2.3</v>
      </c>
      <c r="T153" s="54">
        <f>S153*3901.4</f>
        <v>8973.22</v>
      </c>
      <c r="U153" s="32" t="s">
        <v>93</v>
      </c>
      <c r="V153" s="23">
        <f>V152+T153-N153</f>
        <v>-7812.9000000000015</v>
      </c>
    </row>
    <row r="154" spans="1:22" ht="12.75">
      <c r="A154" s="42" t="s">
        <v>73</v>
      </c>
      <c r="B154" s="43"/>
      <c r="C154" s="44" t="s">
        <v>79</v>
      </c>
      <c r="D154" s="44" t="s">
        <v>84</v>
      </c>
      <c r="E154" s="44"/>
      <c r="F154" s="44" t="s">
        <v>81</v>
      </c>
      <c r="G154" s="45"/>
      <c r="H154" s="46"/>
      <c r="N154" s="60">
        <f>O154+P154+Q154</f>
        <v>12001.54</v>
      </c>
      <c r="O154" s="49">
        <v>577.8</v>
      </c>
      <c r="P154" s="49">
        <v>2271.33</v>
      </c>
      <c r="Q154" s="61">
        <f>6396.78+2755.63</f>
        <v>9152.41</v>
      </c>
      <c r="R154" s="49">
        <v>231.9</v>
      </c>
      <c r="S154" s="54">
        <v>2.3</v>
      </c>
      <c r="T154" s="54">
        <f>S154*3901.4</f>
        <v>8973.22</v>
      </c>
      <c r="U154" s="62" t="s">
        <v>94</v>
      </c>
      <c r="V154" s="23">
        <f>V153+T154-N154</f>
        <v>-10841.220000000003</v>
      </c>
    </row>
    <row r="155" spans="1:22" ht="12.75">
      <c r="A155" s="53" t="s">
        <v>87</v>
      </c>
      <c r="B155" s="54"/>
      <c r="C155" s="49">
        <v>3088.94</v>
      </c>
      <c r="D155" s="49"/>
      <c r="E155" s="49">
        <f>C155+D155</f>
        <v>3088.94</v>
      </c>
      <c r="F155" s="49"/>
      <c r="G155" s="55">
        <v>1</v>
      </c>
      <c r="H155" s="56">
        <f>G155*6756</f>
        <v>6756</v>
      </c>
      <c r="I155" s="23">
        <f>H155-E155</f>
        <v>3667.06</v>
      </c>
      <c r="N155" s="60">
        <f>O155+P155+Q155</f>
        <v>11054.330000000002</v>
      </c>
      <c r="O155" s="49">
        <v>577.8</v>
      </c>
      <c r="P155" s="49">
        <v>2271.33</v>
      </c>
      <c r="Q155" s="61">
        <f>5734.76+2470.44</f>
        <v>8205.2</v>
      </c>
      <c r="R155" s="49">
        <v>207.9</v>
      </c>
      <c r="S155" s="54">
        <v>2.3</v>
      </c>
      <c r="T155" s="54">
        <f>S155*3901.4</f>
        <v>8973.22</v>
      </c>
      <c r="U155" s="62" t="s">
        <v>95</v>
      </c>
      <c r="V155" s="23">
        <f>V154+T155-N155</f>
        <v>-12922.330000000005</v>
      </c>
    </row>
    <row r="156" spans="1:22" ht="12.75">
      <c r="A156" s="53" t="s">
        <v>88</v>
      </c>
      <c r="B156" s="54"/>
      <c r="C156" s="49">
        <v>3088.94</v>
      </c>
      <c r="D156" s="49"/>
      <c r="E156" s="49">
        <f>C156+D156</f>
        <v>3088.94</v>
      </c>
      <c r="F156" s="49"/>
      <c r="G156" s="55">
        <v>1</v>
      </c>
      <c r="H156" s="56">
        <f>G156*6756</f>
        <v>6756</v>
      </c>
      <c r="I156" s="23">
        <f>I155+H156-E156</f>
        <v>7334.119999999999</v>
      </c>
      <c r="N156" s="60">
        <f>O156+P156+Q156</f>
        <v>7043.11</v>
      </c>
      <c r="O156" s="49">
        <v>686.94</v>
      </c>
      <c r="P156" s="49">
        <v>2271.33</v>
      </c>
      <c r="Q156" s="61">
        <f>2854.97+1229.87</f>
        <v>4084.8399999999997</v>
      </c>
      <c r="R156" s="49">
        <v>103.5</v>
      </c>
      <c r="S156" s="54">
        <v>2.3</v>
      </c>
      <c r="T156" s="54">
        <f>S156*3901.4</f>
        <v>8973.22</v>
      </c>
      <c r="U156" s="62" t="s">
        <v>96</v>
      </c>
      <c r="V156" s="23">
        <f>V155+T156-N156</f>
        <v>-10992.220000000005</v>
      </c>
    </row>
    <row r="157" spans="1:22" ht="12.75">
      <c r="A157" s="53" t="s">
        <v>89</v>
      </c>
      <c r="B157" s="54"/>
      <c r="C157" s="49">
        <v>3088.94</v>
      </c>
      <c r="D157" s="49">
        <v>1373.45</v>
      </c>
      <c r="E157" s="49">
        <f>C157+D157</f>
        <v>4462.39</v>
      </c>
      <c r="F157" s="49">
        <v>34.8</v>
      </c>
      <c r="G157" s="55">
        <v>1</v>
      </c>
      <c r="H157" s="56">
        <f>G157*6756</f>
        <v>6756</v>
      </c>
      <c r="I157" s="23">
        <f>I156+H157-E157</f>
        <v>9627.73</v>
      </c>
      <c r="N157" s="60">
        <f>O157+P157+Q157</f>
        <v>6443.2</v>
      </c>
      <c r="O157" s="49">
        <v>686.94</v>
      </c>
      <c r="P157" s="49">
        <v>2271.33</v>
      </c>
      <c r="Q157" s="23">
        <f>2435.68+1049.25</f>
        <v>3484.93</v>
      </c>
      <c r="R157" s="49">
        <v>88.3</v>
      </c>
      <c r="S157" s="54">
        <v>2.3</v>
      </c>
      <c r="T157" s="54">
        <f>S157*3901.4</f>
        <v>8973.22</v>
      </c>
      <c r="U157" s="62" t="s">
        <v>97</v>
      </c>
      <c r="V157" s="23">
        <f>V156+T157-N157</f>
        <v>-8462.200000000004</v>
      </c>
    </row>
    <row r="158" spans="1:22" ht="12.75">
      <c r="A158" s="53" t="s">
        <v>90</v>
      </c>
      <c r="B158" s="54"/>
      <c r="C158" s="49">
        <v>3354.35</v>
      </c>
      <c r="D158" s="49">
        <v>8497.15</v>
      </c>
      <c r="E158" s="49">
        <f>C158+D158</f>
        <v>11851.5</v>
      </c>
      <c r="F158" s="49">
        <v>190.4405</v>
      </c>
      <c r="G158" s="55">
        <v>2</v>
      </c>
      <c r="H158" s="56">
        <f>G158*6756</f>
        <v>13512</v>
      </c>
      <c r="I158" s="23">
        <f>I157+H158-E158</f>
        <v>11288.23</v>
      </c>
      <c r="N158" s="68">
        <f>O158+P158+Q158</f>
        <v>6016.969999999999</v>
      </c>
      <c r="O158" s="49">
        <v>686.94</v>
      </c>
      <c r="P158" s="49">
        <v>2271.33</v>
      </c>
      <c r="Q158" s="23">
        <v>3058.7</v>
      </c>
      <c r="R158" s="49">
        <v>77.5</v>
      </c>
      <c r="S158" s="54">
        <v>2.3</v>
      </c>
      <c r="T158" s="54">
        <f>S158*3901.4</f>
        <v>8973.22</v>
      </c>
      <c r="U158" s="62" t="s">
        <v>86</v>
      </c>
      <c r="V158" s="23">
        <f>V157+T158-N158</f>
        <v>-5505.950000000004</v>
      </c>
    </row>
    <row r="159" spans="1:22" ht="12.75">
      <c r="A159" s="53" t="s">
        <v>91</v>
      </c>
      <c r="B159" s="54"/>
      <c r="C159" s="49">
        <v>3354.35</v>
      </c>
      <c r="D159" s="49">
        <v>6065.41</v>
      </c>
      <c r="E159" s="49">
        <f>C159+D159</f>
        <v>9419.76</v>
      </c>
      <c r="F159" s="49">
        <v>141.2</v>
      </c>
      <c r="G159" s="55">
        <v>2</v>
      </c>
      <c r="H159" s="56">
        <f>G159*6756</f>
        <v>13512</v>
      </c>
      <c r="I159" s="23">
        <f>I158+H159-E159</f>
        <v>15380.47</v>
      </c>
      <c r="N159" s="68">
        <f>O159+P159+Q159</f>
        <v>4986.87</v>
      </c>
      <c r="O159" s="49">
        <v>686.94</v>
      </c>
      <c r="P159" s="49">
        <v>2271.33</v>
      </c>
      <c r="Q159" s="58">
        <f>1417.82+610.78</f>
        <v>2028.6</v>
      </c>
      <c r="R159" s="49">
        <v>51.4</v>
      </c>
      <c r="S159" s="54">
        <v>2.3</v>
      </c>
      <c r="T159" s="54">
        <f>S159*3901.4</f>
        <v>8973.22</v>
      </c>
      <c r="U159" s="70" t="s">
        <v>87</v>
      </c>
      <c r="V159" s="23">
        <f>V158+T159-N159</f>
        <v>-1519.600000000005</v>
      </c>
    </row>
    <row r="160" spans="1:22" ht="12.75">
      <c r="A160" s="53" t="s">
        <v>92</v>
      </c>
      <c r="B160" s="54"/>
      <c r="C160" s="49">
        <v>3354.35</v>
      </c>
      <c r="D160" s="49">
        <v>17581.97</v>
      </c>
      <c r="E160" s="49">
        <f>C160+D160</f>
        <v>20936.32</v>
      </c>
      <c r="F160" s="49">
        <v>409.3</v>
      </c>
      <c r="G160" s="55">
        <v>2</v>
      </c>
      <c r="H160" s="56">
        <f>G160*6756</f>
        <v>13512</v>
      </c>
      <c r="I160" s="23">
        <f>I159+H160-E160</f>
        <v>7956.1500000000015</v>
      </c>
      <c r="N160" s="68">
        <f>O160+P160+Q160</f>
        <v>5598.610000000001</v>
      </c>
      <c r="O160" s="49">
        <v>686.94</v>
      </c>
      <c r="P160" s="49">
        <v>2271.33</v>
      </c>
      <c r="Q160" s="61">
        <f>1845.38+794.96</f>
        <v>2640.34</v>
      </c>
      <c r="R160" s="49">
        <v>66.9</v>
      </c>
      <c r="S160" s="54">
        <v>2.3</v>
      </c>
      <c r="T160" s="54">
        <f>S160*3901.4</f>
        <v>8973.22</v>
      </c>
      <c r="U160" s="70" t="s">
        <v>88</v>
      </c>
      <c r="V160" s="23">
        <f>V159+T160-N160</f>
        <v>1855.0099999999939</v>
      </c>
    </row>
    <row r="161" spans="1:22" ht="12.75">
      <c r="A161" s="53" t="s">
        <v>93</v>
      </c>
      <c r="B161" s="54"/>
      <c r="C161" s="49">
        <v>3404.35</v>
      </c>
      <c r="D161" s="49">
        <v>24094.14</v>
      </c>
      <c r="E161" s="49">
        <f>C161+D161</f>
        <v>27498.489999999998</v>
      </c>
      <c r="F161" s="63">
        <v>560.9</v>
      </c>
      <c r="G161" s="55">
        <v>2</v>
      </c>
      <c r="H161" s="56">
        <f>G161*6756</f>
        <v>13512</v>
      </c>
      <c r="I161" s="23">
        <f>I160+H161-E161</f>
        <v>-6030.3399999999965</v>
      </c>
      <c r="N161" s="68">
        <f>O161+P161+Q161</f>
        <v>5973.549999999999</v>
      </c>
      <c r="O161" s="49">
        <v>686.94</v>
      </c>
      <c r="P161" s="49">
        <v>2271.33</v>
      </c>
      <c r="Q161" s="49">
        <f>2107.43+907.85</f>
        <v>3015.2799999999997</v>
      </c>
      <c r="R161" s="49">
        <v>76.4</v>
      </c>
      <c r="S161" s="54">
        <v>2.3</v>
      </c>
      <c r="T161" s="54">
        <f>S161*3901.4</f>
        <v>8973.22</v>
      </c>
      <c r="U161" s="70" t="s">
        <v>89</v>
      </c>
      <c r="V161" s="23">
        <f>V160+T161-N161</f>
        <v>4854.679999999993</v>
      </c>
    </row>
    <row r="162" spans="1:22" ht="12.75">
      <c r="A162" s="53" t="s">
        <v>94</v>
      </c>
      <c r="B162" s="54"/>
      <c r="C162" s="49">
        <v>3404.35</v>
      </c>
      <c r="D162" s="49">
        <v>15056.15</v>
      </c>
      <c r="E162" s="49">
        <f>C162+D162</f>
        <v>18460.5</v>
      </c>
      <c r="F162" s="63">
        <v>350.5</v>
      </c>
      <c r="G162" s="55">
        <v>2</v>
      </c>
      <c r="H162" s="56">
        <f>G162*6756</f>
        <v>13512</v>
      </c>
      <c r="I162" s="23">
        <f>I161+H162-E162</f>
        <v>-10978.839999999997</v>
      </c>
      <c r="N162" s="60">
        <f>O162+P162+Q162</f>
        <v>9011.871</v>
      </c>
      <c r="O162" s="49">
        <v>686.94</v>
      </c>
      <c r="P162" s="49">
        <v>2471.89</v>
      </c>
      <c r="Q162" s="49">
        <f>49+4074.82+21.111+1708.11</f>
        <v>5853.040999999999</v>
      </c>
      <c r="R162" s="49">
        <v>134.6239</v>
      </c>
      <c r="S162" s="54">
        <v>2.3</v>
      </c>
      <c r="T162" s="54">
        <f>S162*3901.4</f>
        <v>8973.22</v>
      </c>
      <c r="U162" s="70" t="s">
        <v>90</v>
      </c>
      <c r="V162" s="23">
        <f>V161+T162-N162</f>
        <v>4816.028999999993</v>
      </c>
    </row>
    <row r="163" spans="1:22" ht="12.75">
      <c r="A163" s="53" t="s">
        <v>95</v>
      </c>
      <c r="B163" s="54"/>
      <c r="C163" s="49">
        <v>3404.35</v>
      </c>
      <c r="D163" s="49">
        <v>12057.81</v>
      </c>
      <c r="E163" s="49">
        <f>C163+D163</f>
        <v>15462.16</v>
      </c>
      <c r="F163" s="63">
        <v>280.7</v>
      </c>
      <c r="G163" s="55">
        <v>2</v>
      </c>
      <c r="H163" s="56">
        <f>G163*6756</f>
        <v>13512</v>
      </c>
      <c r="I163" s="23">
        <f>I162+H163-E163</f>
        <v>-12928.999999999996</v>
      </c>
      <c r="N163" s="60">
        <f>O163+P163+Q163</f>
        <v>10457.09</v>
      </c>
      <c r="O163" s="49">
        <v>686.94</v>
      </c>
      <c r="P163" s="49">
        <v>2471.89</v>
      </c>
      <c r="Q163" s="49">
        <f>5142.57+2155.69</f>
        <v>7298.26</v>
      </c>
      <c r="R163" s="49">
        <v>169.9</v>
      </c>
      <c r="S163" s="54">
        <v>2.3</v>
      </c>
      <c r="T163" s="54">
        <f>S163*3901.4</f>
        <v>8973.22</v>
      </c>
      <c r="U163" s="70" t="s">
        <v>91</v>
      </c>
      <c r="V163" s="23">
        <f>V162+T163-N163</f>
        <v>3332.1589999999924</v>
      </c>
    </row>
    <row r="164" spans="1:22" ht="12.75">
      <c r="A164" s="53" t="s">
        <v>96</v>
      </c>
      <c r="B164" s="54"/>
      <c r="C164" s="49">
        <v>3404.35</v>
      </c>
      <c r="D164" s="54">
        <v>6911.66</v>
      </c>
      <c r="E164" s="49">
        <f>C164+D164</f>
        <v>10316.01</v>
      </c>
      <c r="F164" s="54">
        <v>160.9</v>
      </c>
      <c r="G164" s="55">
        <v>2</v>
      </c>
      <c r="H164" s="56">
        <f>G164*6756</f>
        <v>13512</v>
      </c>
      <c r="I164" s="23">
        <f>I163+H164-E164</f>
        <v>-9733.009999999997</v>
      </c>
      <c r="N164" s="72">
        <f>O164+P164+Q164</f>
        <v>13451.11</v>
      </c>
      <c r="O164" s="49">
        <v>686.94</v>
      </c>
      <c r="P164" s="49">
        <v>2471.89</v>
      </c>
      <c r="Q164" s="49">
        <f>7252.27+3040.01</f>
        <v>10292.28</v>
      </c>
      <c r="R164" s="49">
        <v>239.6</v>
      </c>
      <c r="S164" s="54">
        <v>2.3</v>
      </c>
      <c r="T164" s="54">
        <f>S164*3901.4</f>
        <v>8973.22</v>
      </c>
      <c r="U164" s="62" t="s">
        <v>92</v>
      </c>
      <c r="V164" s="23">
        <f>V163+T164-N164</f>
        <v>-1145.7310000000089</v>
      </c>
    </row>
    <row r="165" spans="1:22" ht="12.75">
      <c r="A165" s="53" t="s">
        <v>97</v>
      </c>
      <c r="B165" s="54"/>
      <c r="C165" s="49">
        <v>3404.35</v>
      </c>
      <c r="D165" s="49">
        <v>3969.15</v>
      </c>
      <c r="E165" s="49">
        <f>C165+D165</f>
        <v>7373.5</v>
      </c>
      <c r="F165" s="49">
        <v>92.4</v>
      </c>
      <c r="G165" s="55">
        <v>2</v>
      </c>
      <c r="H165" s="56">
        <f>G165*6756</f>
        <v>13512</v>
      </c>
      <c r="I165" s="23">
        <f>I164+H165-E165</f>
        <v>-3594.5099999999966</v>
      </c>
      <c r="N165" s="60">
        <f>O165+P165+Q165</f>
        <v>17471.83</v>
      </c>
      <c r="O165" s="65">
        <v>686.94</v>
      </c>
      <c r="P165" s="65">
        <f>1715.93+755.96</f>
        <v>2471.8900000000003</v>
      </c>
      <c r="Q165" s="110">
        <f>10085.36+4227.64</f>
        <v>14313</v>
      </c>
      <c r="R165" s="65">
        <v>333.2</v>
      </c>
      <c r="S165" s="59">
        <v>2.4</v>
      </c>
      <c r="T165" s="59">
        <f>S165*3901.4</f>
        <v>9363.36</v>
      </c>
      <c r="U165" s="32" t="s">
        <v>93</v>
      </c>
      <c r="V165" s="23">
        <f>V164+T165-N165</f>
        <v>-9254.20100000001</v>
      </c>
    </row>
    <row r="166" spans="1:22" ht="12.75">
      <c r="A166" s="53" t="s">
        <v>86</v>
      </c>
      <c r="B166" s="54"/>
      <c r="C166" s="49">
        <v>3404.35</v>
      </c>
      <c r="D166" s="54">
        <v>0</v>
      </c>
      <c r="E166" s="69">
        <f>C166+D166</f>
        <v>3404.35</v>
      </c>
      <c r="F166" s="54"/>
      <c r="G166" s="116">
        <v>1.2</v>
      </c>
      <c r="H166" s="56">
        <f>G166*6756</f>
        <v>8107.2</v>
      </c>
      <c r="I166" s="23">
        <f>I165+H166-E166</f>
        <v>1108.3400000000033</v>
      </c>
      <c r="N166" s="60">
        <f>O166+P166+Q166</f>
        <v>13146.15</v>
      </c>
      <c r="O166" s="49">
        <v>686.94</v>
      </c>
      <c r="P166" s="49">
        <v>2471.89</v>
      </c>
      <c r="Q166" s="61">
        <f>7037.36+2949.96</f>
        <v>9987.32</v>
      </c>
      <c r="R166" s="49">
        <v>232.5</v>
      </c>
      <c r="S166" s="54">
        <v>2.4</v>
      </c>
      <c r="T166" s="54">
        <f>S166*3901.4</f>
        <v>9363.36</v>
      </c>
      <c r="U166" s="62" t="s">
        <v>94</v>
      </c>
      <c r="V166" s="23">
        <f>V165+T166-N166</f>
        <v>-13036.991000000009</v>
      </c>
    </row>
    <row r="167" spans="1:22" ht="12.75">
      <c r="A167" s="73" t="s">
        <v>98</v>
      </c>
      <c r="B167" s="74">
        <f>SUM(B155:B166)</f>
        <v>0</v>
      </c>
      <c r="C167" s="59">
        <f>SUM(C155:C166)</f>
        <v>39755.969999999994</v>
      </c>
      <c r="D167" s="59">
        <f>SUM(D155:D166)</f>
        <v>95606.88999999998</v>
      </c>
      <c r="E167" s="59">
        <f>SUM(E155:E166)</f>
        <v>135362.86</v>
      </c>
      <c r="F167" s="59">
        <f>SUM(F155:F166)</f>
        <v>2221.1405</v>
      </c>
      <c r="G167" s="75">
        <f>SUM(G155:G166)</f>
        <v>20.2</v>
      </c>
      <c r="H167" s="75">
        <f>SUM(H155:H166)</f>
        <v>136471.2</v>
      </c>
      <c r="N167" s="60">
        <f>O167+P167+Q167</f>
        <v>11470.859999999999</v>
      </c>
      <c r="O167" s="49">
        <v>686.94</v>
      </c>
      <c r="P167" s="49">
        <v>2471.89</v>
      </c>
      <c r="Q167" s="61">
        <f>5856.9+2455.13</f>
        <v>8312.029999999999</v>
      </c>
      <c r="R167" s="49">
        <v>193.5</v>
      </c>
      <c r="S167" s="54">
        <v>2.4</v>
      </c>
      <c r="T167" s="54">
        <f>S167*3901.4</f>
        <v>9363.36</v>
      </c>
      <c r="U167" s="62" t="s">
        <v>95</v>
      </c>
      <c r="V167" s="23">
        <f>V166+T167-N167</f>
        <v>-15144.491000000007</v>
      </c>
    </row>
    <row r="168" spans="1:22" ht="12.75">
      <c r="A168" s="27"/>
      <c r="B168" s="27">
        <f>B167/6756/12</f>
        <v>0</v>
      </c>
      <c r="C168" s="27">
        <f>C167/E167</f>
        <v>0.29369924660279784</v>
      </c>
      <c r="D168" s="27">
        <f>D167/E167</f>
        <v>0.7063007533972021</v>
      </c>
      <c r="E168" s="27"/>
      <c r="F168" s="79">
        <f>F167/6756/12</f>
        <v>0.02739713464574699</v>
      </c>
      <c r="G168" s="27"/>
      <c r="N168" s="60">
        <f>O168+P168+Q168</f>
        <v>8390.9</v>
      </c>
      <c r="O168" s="49">
        <v>686.94</v>
      </c>
      <c r="P168" s="49">
        <v>2471.89</v>
      </c>
      <c r="Q168" s="61">
        <f>3686.67+1545.4</f>
        <v>5232.07</v>
      </c>
      <c r="R168" s="49">
        <v>121.8</v>
      </c>
      <c r="S168" s="54">
        <v>2.4</v>
      </c>
      <c r="T168" s="54">
        <f>S168*3901.4</f>
        <v>9363.36</v>
      </c>
      <c r="U168" s="62" t="s">
        <v>96</v>
      </c>
      <c r="V168" s="23">
        <f>V167+T168-N168</f>
        <v>-14172.031000000006</v>
      </c>
    </row>
    <row r="169" spans="1:22" ht="12.75">
      <c r="A169" s="111" t="s">
        <v>129</v>
      </c>
      <c r="B169" s="80"/>
      <c r="C169" s="80"/>
      <c r="D169" s="80"/>
      <c r="E169" s="81">
        <v>31.13</v>
      </c>
      <c r="F169" s="82"/>
      <c r="G169" s="80"/>
      <c r="N169" s="60">
        <f>O169+P169+Q169</f>
        <v>7274.04</v>
      </c>
      <c r="O169" s="49">
        <v>686.94</v>
      </c>
      <c r="P169" s="49">
        <v>2471.89</v>
      </c>
      <c r="Q169" s="23">
        <f>2899.7+1215.51</f>
        <v>4115.21</v>
      </c>
      <c r="R169" s="49">
        <v>95.8</v>
      </c>
      <c r="S169" s="54">
        <v>2.4</v>
      </c>
      <c r="T169" s="54">
        <f>S169*3901.4</f>
        <v>9363.36</v>
      </c>
      <c r="U169" s="62" t="s">
        <v>97</v>
      </c>
      <c r="V169" s="23">
        <f>V168+T169-N169</f>
        <v>-12082.711000000007</v>
      </c>
    </row>
    <row r="170" spans="1:22" ht="12.75">
      <c r="A170" t="s">
        <v>130</v>
      </c>
      <c r="E170" s="123">
        <f>-E167*0.006</f>
        <v>-812.17716</v>
      </c>
      <c r="N170" s="60">
        <f>O170+P170+Q170</f>
        <v>3158.83</v>
      </c>
      <c r="O170" s="49">
        <v>686.94</v>
      </c>
      <c r="P170" s="49">
        <v>2471.89</v>
      </c>
      <c r="Q170" s="49">
        <v>0</v>
      </c>
      <c r="R170" s="49">
        <v>0</v>
      </c>
      <c r="S170" s="51">
        <v>2.4</v>
      </c>
      <c r="T170" s="54">
        <f>S170*3901.4</f>
        <v>9363.36</v>
      </c>
      <c r="U170" s="52" t="s">
        <v>86</v>
      </c>
      <c r="V170" s="23">
        <f>V169+T170-N170</f>
        <v>-5878.181000000006</v>
      </c>
    </row>
    <row r="171" spans="1:22" ht="12.75">
      <c r="A171" t="s">
        <v>131</v>
      </c>
      <c r="E171" s="123">
        <f>-E167*0.013</f>
        <v>-1759.7171799999999</v>
      </c>
      <c r="N171" s="76">
        <f>SUM(N152:N170)</f>
        <v>178710.20099999997</v>
      </c>
      <c r="O171" s="76">
        <f>SUM(O152:O170)</f>
        <v>12615.300000000005</v>
      </c>
      <c r="P171" s="76">
        <f>SUM(P152:P170)</f>
        <v>44960.31</v>
      </c>
      <c r="Q171" s="76">
        <f>SUM(Q152:Q170)</f>
        <v>121134.59100000001</v>
      </c>
      <c r="R171" s="76">
        <f>SUM(R152:R170)</f>
        <v>2936.4239000000007</v>
      </c>
      <c r="S171" s="76">
        <f>SUM(S152:S170)</f>
        <v>44.3</v>
      </c>
      <c r="T171" s="76">
        <f>SUM(T152:T170)</f>
        <v>172832.02</v>
      </c>
      <c r="U171" s="78"/>
      <c r="V171" s="23"/>
    </row>
    <row r="172" spans="1:17" ht="12.75">
      <c r="A172" t="s">
        <v>99</v>
      </c>
      <c r="E172" s="123">
        <f>-E167*0.02</f>
        <v>-2707.2571999999996</v>
      </c>
      <c r="N172" s="23">
        <f>SUM(N152:N163)/3901.4/12</f>
        <v>2.228825571162489</v>
      </c>
      <c r="Q172" s="23">
        <f>SUM(P171:Q171)</f>
        <v>166094.901</v>
      </c>
    </row>
    <row r="173" spans="5:18" ht="12.75">
      <c r="E173" s="123">
        <f>SUM(E167:E172)</f>
        <v>130114.83845999998</v>
      </c>
      <c r="N173" s="23"/>
      <c r="O173" s="23">
        <f>O171/77</f>
        <v>163.835064935065</v>
      </c>
      <c r="P173" s="83">
        <f>P171/Q172</f>
        <v>0.27069048916799676</v>
      </c>
      <c r="Q173" s="83">
        <f>Q171/Q172</f>
        <v>0.7293095108320032</v>
      </c>
      <c r="R173" s="21">
        <f>R171/3901.4/18</f>
        <v>0.04181438999105735</v>
      </c>
    </row>
  </sheetData>
  <sheetProtection selectLockedCells="1" selectUnlockedCells="1"/>
  <printOptions/>
  <pageMargins left="0.9840277777777777" right="0.7875" top="0.7875" bottom="0.7875" header="0.5118055555555555" footer="0.5118055555555555"/>
  <pageSetup horizontalDpi="300" verticalDpi="300" orientation="portrait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0"/>
  <sheetViews>
    <sheetView tabSelected="1" workbookViewId="0" topLeftCell="A115">
      <selection activeCell="F88" sqref="F88"/>
    </sheetView>
  </sheetViews>
  <sheetFormatPr defaultColWidth="12.57421875" defaultRowHeight="12.75" outlineLevelRow="1"/>
  <cols>
    <col min="1" max="1" width="4.140625" style="0" customWidth="1"/>
    <col min="2" max="2" width="34.57421875" style="0" customWidth="1"/>
    <col min="3" max="3" width="8.00390625" style="0" customWidth="1"/>
    <col min="4" max="7" width="11.57421875" style="0" customWidth="1"/>
    <col min="8" max="8" width="6.421875" style="0" customWidth="1"/>
    <col min="9" max="16384" width="11.57421875" style="0" customWidth="1"/>
  </cols>
  <sheetData>
    <row r="1" spans="2:7" ht="12.75">
      <c r="B1" t="s">
        <v>132</v>
      </c>
      <c r="G1" s="124" t="s">
        <v>133</v>
      </c>
    </row>
    <row r="2" spans="1:8" ht="12.75">
      <c r="A2" s="80"/>
      <c r="B2" s="125" t="s">
        <v>134</v>
      </c>
      <c r="C2" s="126"/>
      <c r="D2" s="126"/>
      <c r="E2" s="126"/>
      <c r="F2" s="126"/>
      <c r="G2" s="124" t="s">
        <v>135</v>
      </c>
      <c r="H2" s="6"/>
    </row>
    <row r="3" spans="1:8" ht="12.75">
      <c r="A3" s="126"/>
      <c r="B3" s="126"/>
      <c r="C3" s="126"/>
      <c r="D3" s="126"/>
      <c r="E3" s="126"/>
      <c r="F3" s="126"/>
      <c r="G3" s="126"/>
      <c r="H3" s="126"/>
    </row>
    <row r="4" spans="1:8" ht="12.75">
      <c r="A4" s="127" t="s">
        <v>8</v>
      </c>
      <c r="B4" s="128" t="s">
        <v>136</v>
      </c>
      <c r="C4" s="128"/>
      <c r="D4" s="128" t="s">
        <v>137</v>
      </c>
      <c r="E4" s="128" t="s">
        <v>138</v>
      </c>
      <c r="F4" s="128" t="s">
        <v>22</v>
      </c>
      <c r="G4" s="128" t="s">
        <v>139</v>
      </c>
      <c r="H4" s="129" t="s">
        <v>140</v>
      </c>
    </row>
    <row r="5" spans="1:8" ht="12.75">
      <c r="A5" s="130"/>
      <c r="B5" s="131"/>
      <c r="C5" s="131"/>
      <c r="D5" s="132" t="s">
        <v>141</v>
      </c>
      <c r="E5" s="132">
        <v>2013</v>
      </c>
      <c r="F5" s="132">
        <v>2013</v>
      </c>
      <c r="G5" s="132"/>
      <c r="H5" s="133" t="s">
        <v>142</v>
      </c>
    </row>
    <row r="6" spans="1:8" ht="12.75">
      <c r="A6" s="130">
        <v>1</v>
      </c>
      <c r="B6" s="132">
        <v>2</v>
      </c>
      <c r="C6" s="132">
        <v>3</v>
      </c>
      <c r="D6" s="132">
        <v>4</v>
      </c>
      <c r="E6" s="132">
        <v>5</v>
      </c>
      <c r="F6" s="132">
        <v>6</v>
      </c>
      <c r="G6" s="132">
        <v>7</v>
      </c>
      <c r="H6" s="134">
        <v>8</v>
      </c>
    </row>
    <row r="7" spans="1:8" ht="12.75">
      <c r="A7" s="135" t="s">
        <v>143</v>
      </c>
      <c r="B7" s="136" t="s">
        <v>144</v>
      </c>
      <c r="C7" s="136"/>
      <c r="D7" s="137">
        <f>SUM(D8:D9)</f>
        <v>13522.65</v>
      </c>
      <c r="E7" s="137">
        <f>SUM(E8:E9)</f>
        <v>140694.11</v>
      </c>
      <c r="F7" s="137">
        <f>SUM(F8:F9)</f>
        <v>124341.06999999999</v>
      </c>
      <c r="G7" s="137">
        <f>SUM(G8:G9)</f>
        <v>29875.689999999984</v>
      </c>
      <c r="H7" s="138" t="s">
        <v>0</v>
      </c>
    </row>
    <row r="8" spans="1:8" ht="12.75">
      <c r="A8" s="139"/>
      <c r="B8" s="140" t="s">
        <v>145</v>
      </c>
      <c r="C8" s="141"/>
      <c r="D8" s="142">
        <v>13522.65</v>
      </c>
      <c r="E8" s="142">
        <f>21.7*6756</f>
        <v>146605.19999999998</v>
      </c>
      <c r="F8" s="142">
        <v>117142.59</v>
      </c>
      <c r="G8" s="142">
        <f>D8+E8+E9-F8-F9</f>
        <v>29875.689999999984</v>
      </c>
      <c r="H8" s="143">
        <f>F8/6756/12</f>
        <v>1.444920441089402</v>
      </c>
    </row>
    <row r="9" spans="1:8" ht="12.75">
      <c r="A9" s="144"/>
      <c r="B9" s="145" t="s">
        <v>146</v>
      </c>
      <c r="C9" s="146"/>
      <c r="D9" s="147"/>
      <c r="E9" s="147">
        <v>-5911.09</v>
      </c>
      <c r="F9" s="147">
        <v>7198.48</v>
      </c>
      <c r="G9" s="147"/>
      <c r="H9" s="143">
        <f>F9/6756/12</f>
        <v>0.08879119794750345</v>
      </c>
    </row>
    <row r="10" spans="1:8" ht="12.75">
      <c r="A10" s="144"/>
      <c r="B10" s="145"/>
      <c r="C10" s="146"/>
      <c r="D10" s="147"/>
      <c r="E10" s="147"/>
      <c r="F10" s="147"/>
      <c r="G10" s="147"/>
      <c r="H10" s="148"/>
    </row>
    <row r="11" spans="1:8" ht="12.75">
      <c r="A11" s="135" t="s">
        <v>147</v>
      </c>
      <c r="B11" s="136" t="s">
        <v>148</v>
      </c>
      <c r="C11" s="149"/>
      <c r="D11" s="150">
        <f>SUM(D12:D13)</f>
        <v>-6401.610000000001</v>
      </c>
      <c r="E11" s="150">
        <f>SUM(E12:E13)</f>
        <v>83718</v>
      </c>
      <c r="F11" s="150">
        <f>SUM(F12:F13)</f>
        <v>75641.76000000001</v>
      </c>
      <c r="G11" s="150">
        <f>SUM(G12:G13)</f>
        <v>1674.630000000001</v>
      </c>
      <c r="H11" s="151"/>
    </row>
    <row r="12" spans="1:8" ht="12.75">
      <c r="A12" s="139" t="s">
        <v>0</v>
      </c>
      <c r="B12" s="140" t="s">
        <v>149</v>
      </c>
      <c r="C12" s="141"/>
      <c r="D12" s="142">
        <v>-143.8</v>
      </c>
      <c r="E12" s="142">
        <f>108*12*10</f>
        <v>12960</v>
      </c>
      <c r="F12" s="142">
        <v>12600</v>
      </c>
      <c r="G12" s="142">
        <f>D12+E12-F12</f>
        <v>216.20000000000073</v>
      </c>
      <c r="H12" s="143"/>
    </row>
    <row r="13" spans="1:8" ht="12.75">
      <c r="A13" s="152"/>
      <c r="B13" s="153" t="s">
        <v>150</v>
      </c>
      <c r="C13" s="154"/>
      <c r="D13" s="155">
        <v>-6257.81</v>
      </c>
      <c r="E13" s="155">
        <v>70758</v>
      </c>
      <c r="F13" s="155">
        <v>63041.76</v>
      </c>
      <c r="G13" s="142">
        <f>D13+E13-F13</f>
        <v>1458.4300000000003</v>
      </c>
      <c r="H13" s="156"/>
    </row>
    <row r="14" spans="1:8" ht="12.75">
      <c r="A14" s="152"/>
      <c r="B14" s="153"/>
      <c r="C14" s="154"/>
      <c r="D14" s="155"/>
      <c r="E14" s="155"/>
      <c r="F14" s="155"/>
      <c r="G14" s="142"/>
      <c r="H14" s="156"/>
    </row>
    <row r="15" spans="1:8" ht="12.75">
      <c r="A15" s="135" t="s">
        <v>151</v>
      </c>
      <c r="B15" s="136" t="s">
        <v>152</v>
      </c>
      <c r="C15" s="149"/>
      <c r="D15" s="150">
        <f>SUM(D16:D17)</f>
        <v>2375.45</v>
      </c>
      <c r="E15" s="150">
        <f>SUM(E16:E17)</f>
        <v>127312.21000000002</v>
      </c>
      <c r="F15" s="150">
        <f>SUM(F16:F17)</f>
        <v>111689.77</v>
      </c>
      <c r="G15" s="150">
        <f>SUM(G16:G17)</f>
        <v>17997.890000000014</v>
      </c>
      <c r="H15" s="151"/>
    </row>
    <row r="16" spans="1:8" ht="12.75">
      <c r="A16" s="157"/>
      <c r="B16" s="145" t="s">
        <v>153</v>
      </c>
      <c r="C16" s="145"/>
      <c r="D16" s="147">
        <v>2375.45</v>
      </c>
      <c r="E16" s="147">
        <f>3901.4*2.6*12</f>
        <v>121723.68000000002</v>
      </c>
      <c r="F16" s="147">
        <v>107607.05</v>
      </c>
      <c r="G16" s="142">
        <f>D16+E16+E17-F16-F17</f>
        <v>17997.890000000014</v>
      </c>
      <c r="H16" s="143">
        <f>F16/3901.4/12</f>
        <v>2.2984708480716325</v>
      </c>
    </row>
    <row r="17" spans="1:8" ht="12.75">
      <c r="A17" s="157"/>
      <c r="B17" s="145" t="s">
        <v>146</v>
      </c>
      <c r="C17" s="158"/>
      <c r="D17" s="159"/>
      <c r="E17" s="159">
        <v>5588.53</v>
      </c>
      <c r="F17" s="159">
        <v>4082.72</v>
      </c>
      <c r="G17" s="159"/>
      <c r="H17" s="143">
        <f>F17/3901.4/12</f>
        <v>0.08720630201124381</v>
      </c>
    </row>
    <row r="18" spans="1:8" ht="12.75">
      <c r="A18" s="157"/>
      <c r="B18" s="145"/>
      <c r="C18" s="158"/>
      <c r="D18" s="159"/>
      <c r="E18" s="159"/>
      <c r="F18" s="159"/>
      <c r="G18" s="159"/>
      <c r="H18" s="160"/>
    </row>
    <row r="19" spans="1:8" ht="12.75">
      <c r="A19" s="135">
        <v>1</v>
      </c>
      <c r="B19" s="136" t="s">
        <v>154</v>
      </c>
      <c r="C19" s="161"/>
      <c r="D19" s="150">
        <f>D7+D11+D15</f>
        <v>9496.489999999998</v>
      </c>
      <c r="E19" s="150">
        <f>E7+E11+E15</f>
        <v>351724.32</v>
      </c>
      <c r="F19" s="150">
        <f>F7+F11+F15</f>
        <v>311672.60000000003</v>
      </c>
      <c r="G19" s="150">
        <f>G7+G11+G15</f>
        <v>49548.21</v>
      </c>
      <c r="H19" s="151"/>
    </row>
    <row r="20" spans="1:8" ht="12.75">
      <c r="A20" s="135"/>
      <c r="B20" s="136"/>
      <c r="C20" s="161"/>
      <c r="D20" s="150"/>
      <c r="E20" s="150"/>
      <c r="F20" s="150"/>
      <c r="G20" s="150"/>
      <c r="H20" s="151"/>
    </row>
    <row r="21" spans="1:8" ht="12.75">
      <c r="A21" s="135">
        <v>2</v>
      </c>
      <c r="B21" s="136" t="s">
        <v>155</v>
      </c>
      <c r="C21" s="161"/>
      <c r="D21" s="150">
        <v>-37578.52</v>
      </c>
      <c r="E21" s="150">
        <v>9804</v>
      </c>
      <c r="F21" s="150">
        <v>0</v>
      </c>
      <c r="G21" s="162">
        <f>D21+E21-F21</f>
        <v>-27774.519999999997</v>
      </c>
      <c r="H21" s="151"/>
    </row>
    <row r="22" spans="1:8" ht="12.75">
      <c r="A22" s="163"/>
      <c r="B22" s="131"/>
      <c r="C22" s="164"/>
      <c r="D22" s="165"/>
      <c r="E22" s="165"/>
      <c r="F22" s="165"/>
      <c r="G22" s="165"/>
      <c r="H22" s="166"/>
    </row>
    <row r="23" spans="1:8" ht="12.75">
      <c r="A23" s="167">
        <v>3</v>
      </c>
      <c r="B23" s="168" t="s">
        <v>156</v>
      </c>
      <c r="C23" s="169"/>
      <c r="D23" s="49">
        <f>SUM(D24:D26)</f>
        <v>-16216</v>
      </c>
      <c r="E23" s="49">
        <f>SUM(E24:E26)</f>
        <v>133306.05</v>
      </c>
      <c r="F23" s="49">
        <f>SUM(F24:F26)</f>
        <v>137168.91999999998</v>
      </c>
      <c r="G23" s="49">
        <f>SUM(G24:G26)</f>
        <v>-20078.869999999995</v>
      </c>
      <c r="H23" s="55">
        <v>8.37</v>
      </c>
    </row>
    <row r="24" spans="1:8" ht="12.75">
      <c r="A24" s="170"/>
      <c r="B24" s="171" t="s">
        <v>157</v>
      </c>
      <c r="C24" s="172"/>
      <c r="D24" s="173">
        <v>-14916.21</v>
      </c>
      <c r="E24" s="173">
        <v>84475.5</v>
      </c>
      <c r="F24" s="173">
        <v>87626.06</v>
      </c>
      <c r="G24" s="173">
        <f>D24+E24-F24</f>
        <v>-18066.76999999999</v>
      </c>
      <c r="H24" s="174"/>
    </row>
    <row r="25" spans="1:8" ht="12.75">
      <c r="A25" s="144"/>
      <c r="B25" s="175" t="s">
        <v>158</v>
      </c>
      <c r="C25" s="176"/>
      <c r="D25" s="147">
        <v>557</v>
      </c>
      <c r="E25" s="147">
        <v>39691.95</v>
      </c>
      <c r="F25" s="147">
        <v>40279.44</v>
      </c>
      <c r="G25" s="142">
        <f>D25+E25-F25</f>
        <v>-30.49000000000524</v>
      </c>
      <c r="H25" s="177"/>
    </row>
    <row r="26" spans="1:8" ht="12.75">
      <c r="A26" s="144"/>
      <c r="B26" s="145" t="s">
        <v>159</v>
      </c>
      <c r="C26" s="176"/>
      <c r="D26" s="147">
        <v>-1856.79</v>
      </c>
      <c r="E26" s="147">
        <v>9138.6</v>
      </c>
      <c r="F26" s="147">
        <v>9263.42</v>
      </c>
      <c r="G26" s="142">
        <f>D26+E26-F26</f>
        <v>-1981.6099999999997</v>
      </c>
      <c r="H26" s="177"/>
    </row>
    <row r="27" spans="1:8" ht="12.75">
      <c r="A27" s="178"/>
      <c r="B27" s="179"/>
      <c r="C27" s="180"/>
      <c r="D27" s="181"/>
      <c r="E27" s="181"/>
      <c r="F27" s="181"/>
      <c r="G27" s="181"/>
      <c r="H27" s="182"/>
    </row>
    <row r="28" spans="1:8" ht="12.75">
      <c r="A28" s="135">
        <v>4</v>
      </c>
      <c r="B28" s="136" t="s">
        <v>160</v>
      </c>
      <c r="C28" s="161"/>
      <c r="D28" s="150">
        <f>SUM(D29:D31)</f>
        <v>336</v>
      </c>
      <c r="E28" s="150">
        <f>SUM(E29:E31)</f>
        <v>57726</v>
      </c>
      <c r="F28" s="150">
        <f>SUM(F29:F31)</f>
        <v>57591</v>
      </c>
      <c r="G28" s="150">
        <f>SUM(G29:G31)</f>
        <v>471</v>
      </c>
      <c r="H28" s="151">
        <v>9</v>
      </c>
    </row>
    <row r="29" spans="1:8" ht="12.75">
      <c r="A29" s="167"/>
      <c r="B29" s="183" t="s">
        <v>161</v>
      </c>
      <c r="C29" s="172"/>
      <c r="D29" s="173">
        <v>279</v>
      </c>
      <c r="E29" s="173">
        <v>36378</v>
      </c>
      <c r="F29" s="173">
        <v>36360</v>
      </c>
      <c r="G29" s="173">
        <f>D29+E29-F29</f>
        <v>297</v>
      </c>
      <c r="H29" s="184"/>
    </row>
    <row r="30" spans="1:8" ht="12.75">
      <c r="A30" s="157"/>
      <c r="B30" s="175" t="s">
        <v>162</v>
      </c>
      <c r="C30" s="176"/>
      <c r="D30" s="147">
        <v>-69</v>
      </c>
      <c r="E30" s="147">
        <v>18180</v>
      </c>
      <c r="F30" s="147">
        <v>18117</v>
      </c>
      <c r="G30" s="142">
        <f>D30+E30-F30</f>
        <v>-6</v>
      </c>
      <c r="H30" s="185"/>
    </row>
    <row r="31" spans="1:8" ht="12.75">
      <c r="A31" s="157"/>
      <c r="B31" s="145" t="s">
        <v>163</v>
      </c>
      <c r="C31" s="176"/>
      <c r="D31" s="147">
        <v>126</v>
      </c>
      <c r="E31" s="147">
        <v>3168</v>
      </c>
      <c r="F31" s="147">
        <v>3114</v>
      </c>
      <c r="G31" s="142">
        <f>D31+E31-F31</f>
        <v>180</v>
      </c>
      <c r="H31" s="185"/>
    </row>
    <row r="32" spans="1:8" ht="12.75">
      <c r="A32" s="167"/>
      <c r="B32" s="179"/>
      <c r="C32" s="180"/>
      <c r="D32" s="181"/>
      <c r="E32" s="181"/>
      <c r="F32" s="181"/>
      <c r="G32" s="181"/>
      <c r="H32" s="186"/>
    </row>
    <row r="33" spans="1:8" ht="12.75">
      <c r="A33" s="135">
        <v>5</v>
      </c>
      <c r="B33" s="136" t="s">
        <v>164</v>
      </c>
      <c r="C33" s="161"/>
      <c r="D33" s="150">
        <f>SUM(D34:D36)</f>
        <v>473.86</v>
      </c>
      <c r="E33" s="150">
        <f>SUM(E34:E36)</f>
        <v>13910.5</v>
      </c>
      <c r="F33" s="150">
        <f>SUM(F34:F36)</f>
        <v>12935.72</v>
      </c>
      <c r="G33" s="150">
        <f>SUM(G34:G36)</f>
        <v>1448.6399999999994</v>
      </c>
      <c r="H33" s="151"/>
    </row>
    <row r="34" spans="1:8" ht="12.75">
      <c r="A34" s="170"/>
      <c r="B34" s="183" t="s">
        <v>161</v>
      </c>
      <c r="C34" s="187"/>
      <c r="D34" s="173">
        <v>373.61</v>
      </c>
      <c r="E34" s="173">
        <v>3880.5</v>
      </c>
      <c r="F34" s="173">
        <v>3709.51</v>
      </c>
      <c r="G34" s="173">
        <f>D34+E34-F34</f>
        <v>544.5999999999995</v>
      </c>
      <c r="H34" s="188">
        <f>F34/49/12</f>
        <v>6.308690476190477</v>
      </c>
    </row>
    <row r="35" spans="1:8" ht="12.75">
      <c r="A35" s="144"/>
      <c r="B35" s="175" t="s">
        <v>165</v>
      </c>
      <c r="C35" s="189"/>
      <c r="D35" s="147">
        <v>-561.71</v>
      </c>
      <c r="E35" s="147">
        <v>5390</v>
      </c>
      <c r="F35" s="147">
        <v>4685.89</v>
      </c>
      <c r="G35" s="142">
        <f>D35+E35-F35</f>
        <v>142.39999999999964</v>
      </c>
      <c r="H35" s="160">
        <f>F35/49/12</f>
        <v>7.96920068027211</v>
      </c>
    </row>
    <row r="36" spans="1:8" ht="12.75">
      <c r="A36" s="144"/>
      <c r="B36" s="175" t="s">
        <v>166</v>
      </c>
      <c r="C36" s="189"/>
      <c r="D36" s="147">
        <v>661.96</v>
      </c>
      <c r="E36" s="147">
        <v>4640</v>
      </c>
      <c r="F36" s="147">
        <v>4540.32</v>
      </c>
      <c r="G36" s="142">
        <f>D36+E36-F36</f>
        <v>761.6400000000003</v>
      </c>
      <c r="H36" s="160">
        <f>F36/50/12</f>
        <v>7.5672</v>
      </c>
    </row>
    <row r="37" spans="1:8" ht="12.75">
      <c r="A37" s="144"/>
      <c r="B37" s="175"/>
      <c r="C37" s="189"/>
      <c r="D37" s="147"/>
      <c r="E37" s="147"/>
      <c r="F37" s="147"/>
      <c r="G37" s="142"/>
      <c r="H37" s="160"/>
    </row>
    <row r="38" spans="1:8" ht="12.75">
      <c r="A38" s="135">
        <v>6</v>
      </c>
      <c r="B38" s="136" t="s">
        <v>167</v>
      </c>
      <c r="C38" s="161" t="s">
        <v>0</v>
      </c>
      <c r="D38" s="150">
        <v>-86.31</v>
      </c>
      <c r="E38" s="150">
        <v>18913.86</v>
      </c>
      <c r="F38" s="150">
        <f>18961.19-145.99</f>
        <v>18815.199999999997</v>
      </c>
      <c r="G38" s="162">
        <f>D38+E38-F38</f>
        <v>12.350000000002183</v>
      </c>
      <c r="H38" s="151"/>
    </row>
    <row r="39" spans="1:8" ht="12.75">
      <c r="A39" s="190"/>
      <c r="B39" s="191" t="s">
        <v>0</v>
      </c>
      <c r="C39" s="192"/>
      <c r="D39" s="193"/>
      <c r="E39" s="193"/>
      <c r="F39" s="193"/>
      <c r="G39" s="193"/>
      <c r="H39" s="194"/>
    </row>
    <row r="40" spans="1:8" ht="12.75">
      <c r="A40" s="195">
        <v>7</v>
      </c>
      <c r="B40" s="196" t="s">
        <v>168</v>
      </c>
      <c r="C40" s="197"/>
      <c r="D40" s="198">
        <f>D19+D21+D23+D28+D33+D38</f>
        <v>-43574.479999999996</v>
      </c>
      <c r="E40" s="198">
        <f>E19+E21+E23+E28+E33+E38</f>
        <v>585384.73</v>
      </c>
      <c r="F40" s="198">
        <f>F19+F21+F23+F28+F33+F38</f>
        <v>538183.44</v>
      </c>
      <c r="G40" s="198">
        <f>G19+G21+G23+G28+G33+G38</f>
        <v>3626.8100000000086</v>
      </c>
      <c r="H40" s="199"/>
    </row>
    <row r="41" spans="1:8" ht="12.75">
      <c r="A41" s="200"/>
      <c r="B41" s="201"/>
      <c r="C41" s="197"/>
      <c r="D41" s="198"/>
      <c r="E41" s="198"/>
      <c r="F41" s="198"/>
      <c r="G41" s="198">
        <f>D40+E40-F40</f>
        <v>3626.810000000056</v>
      </c>
      <c r="H41" s="199"/>
    </row>
    <row r="42" spans="1:8" ht="12.75">
      <c r="A42" s="200">
        <v>8</v>
      </c>
      <c r="B42" s="201" t="s">
        <v>169</v>
      </c>
      <c r="C42" s="197"/>
      <c r="D42" s="198">
        <f>SUM(D44:D52)</f>
        <v>-550.8399999999999</v>
      </c>
      <c r="E42" s="198">
        <f>SUM(E44:E52)</f>
        <v>197129.64</v>
      </c>
      <c r="F42" s="198">
        <f>SUM(F44:F52)</f>
        <v>196892.28999999998</v>
      </c>
      <c r="G42" s="198">
        <f>SUM(G44:G52)</f>
        <v>-313.48999999998887</v>
      </c>
      <c r="H42" s="199"/>
    </row>
    <row r="43" spans="1:9" ht="12.75">
      <c r="A43" s="202"/>
      <c r="B43" s="203" t="s">
        <v>170</v>
      </c>
      <c r="C43" s="204">
        <v>6756</v>
      </c>
      <c r="D43" s="205"/>
      <c r="E43" s="205"/>
      <c r="F43" s="205"/>
      <c r="G43" s="205"/>
      <c r="H43" s="206">
        <v>1.4</v>
      </c>
      <c r="I43" s="207"/>
    </row>
    <row r="44" spans="1:9" ht="12.75">
      <c r="A44" s="208"/>
      <c r="B44" s="209" t="s">
        <v>171</v>
      </c>
      <c r="C44" s="210"/>
      <c r="D44" s="147">
        <v>549.76</v>
      </c>
      <c r="E44" s="147">
        <v>95837.32</v>
      </c>
      <c r="F44" s="147">
        <v>96415.53</v>
      </c>
      <c r="G44" s="147">
        <f>D44+E44-F44</f>
        <v>-28.44999999999709</v>
      </c>
      <c r="H44" s="148"/>
      <c r="I44" s="207"/>
    </row>
    <row r="45" spans="1:9" ht="12.75">
      <c r="A45" s="208"/>
      <c r="B45" s="209" t="s">
        <v>172</v>
      </c>
      <c r="C45" s="210"/>
      <c r="D45" s="147">
        <v>195.87</v>
      </c>
      <c r="E45" s="147">
        <v>17663.48</v>
      </c>
      <c r="F45" s="147">
        <v>17758.93</v>
      </c>
      <c r="G45" s="147">
        <f>D45+E45-F45</f>
        <v>100.41999999999825</v>
      </c>
      <c r="H45" s="148"/>
      <c r="I45" s="207"/>
    </row>
    <row r="46" spans="1:8" ht="12.75">
      <c r="A46" s="208"/>
      <c r="B46" s="145"/>
      <c r="C46" s="210"/>
      <c r="D46" s="147"/>
      <c r="E46" s="147"/>
      <c r="F46" s="147"/>
      <c r="G46" s="147"/>
      <c r="H46" s="148"/>
    </row>
    <row r="47" spans="1:8" ht="12.75">
      <c r="A47" s="208"/>
      <c r="B47" s="209" t="s">
        <v>173</v>
      </c>
      <c r="C47" s="210">
        <v>3278.6</v>
      </c>
      <c r="D47" s="147">
        <v>-975.92</v>
      </c>
      <c r="E47" s="147">
        <f>3278.6*1.7*12</f>
        <v>66883.44</v>
      </c>
      <c r="F47" s="147">
        <v>70726.12</v>
      </c>
      <c r="G47" s="147">
        <f>D47+E47+E48-F47</f>
        <v>716.4000000000087</v>
      </c>
      <c r="H47" s="148">
        <v>1.7000000000000002</v>
      </c>
    </row>
    <row r="48" spans="1:8" ht="12.75">
      <c r="A48" s="208"/>
      <c r="B48" s="145" t="s">
        <v>174</v>
      </c>
      <c r="C48" s="210"/>
      <c r="D48" s="147"/>
      <c r="E48" s="147">
        <f>1700+3835</f>
        <v>5535</v>
      </c>
      <c r="F48" s="147"/>
      <c r="G48" s="147"/>
      <c r="H48" s="148"/>
    </row>
    <row r="49" spans="1:8" ht="12.75">
      <c r="A49" s="208"/>
      <c r="B49" s="145"/>
      <c r="C49" s="210"/>
      <c r="D49" s="147"/>
      <c r="E49" s="147"/>
      <c r="F49" s="147"/>
      <c r="G49" s="147"/>
      <c r="H49" s="148"/>
    </row>
    <row r="50" spans="1:8" ht="12.75">
      <c r="A50" s="208"/>
      <c r="B50" s="209" t="s">
        <v>175</v>
      </c>
      <c r="C50" s="210">
        <v>622.8</v>
      </c>
      <c r="D50" s="147"/>
      <c r="E50" s="147"/>
      <c r="F50" s="147"/>
      <c r="G50" s="147"/>
      <c r="H50" s="148">
        <v>1.5</v>
      </c>
    </row>
    <row r="51" spans="1:8" ht="12.75">
      <c r="A51" s="208"/>
      <c r="B51" s="209" t="s">
        <v>176</v>
      </c>
      <c r="C51" s="210"/>
      <c r="D51" s="147">
        <v>-230.03</v>
      </c>
      <c r="E51" s="147">
        <v>7473.6</v>
      </c>
      <c r="F51" s="147">
        <v>7994.61</v>
      </c>
      <c r="G51" s="147">
        <f>D51+E51-F51</f>
        <v>-751.039999999999</v>
      </c>
      <c r="H51" s="148"/>
    </row>
    <row r="52" spans="1:8" ht="12.75">
      <c r="A52" s="208"/>
      <c r="B52" s="209" t="s">
        <v>177</v>
      </c>
      <c r="C52" s="211"/>
      <c r="D52" s="147">
        <v>-90.52</v>
      </c>
      <c r="E52" s="147">
        <v>3736.8</v>
      </c>
      <c r="F52" s="147">
        <v>3997.1</v>
      </c>
      <c r="G52" s="147">
        <f>D52+E52-F52</f>
        <v>-350.8199999999997</v>
      </c>
      <c r="H52" s="148"/>
    </row>
    <row r="53" spans="1:8" ht="12.75">
      <c r="A53" s="212"/>
      <c r="B53" s="213"/>
      <c r="C53" s="214"/>
      <c r="D53" s="215"/>
      <c r="E53" s="215"/>
      <c r="F53" s="215"/>
      <c r="G53" s="142"/>
      <c r="H53" s="216"/>
    </row>
    <row r="54" spans="1:8" ht="12.75">
      <c r="A54" s="195">
        <v>9</v>
      </c>
      <c r="B54" s="217" t="s">
        <v>178</v>
      </c>
      <c r="C54" s="218"/>
      <c r="D54" s="198">
        <f>D55+D72+D83</f>
        <v>65696.27</v>
      </c>
      <c r="E54" s="198">
        <f>E55+E72+E83</f>
        <v>102985.68000000001</v>
      </c>
      <c r="F54" s="198">
        <f>F55+F72+F83</f>
        <v>98654.48000000001</v>
      </c>
      <c r="G54" s="198">
        <f>G55+G72+G83</f>
        <v>70027.47</v>
      </c>
      <c r="H54" s="219"/>
    </row>
    <row r="55" spans="1:8" ht="12.75">
      <c r="A55" s="220">
        <v>1</v>
      </c>
      <c r="B55" s="221" t="s">
        <v>179</v>
      </c>
      <c r="C55" s="222"/>
      <c r="D55" s="223">
        <v>60110.94</v>
      </c>
      <c r="E55" s="223">
        <f>SUM(E56:E57)</f>
        <v>79822.08</v>
      </c>
      <c r="F55" s="223">
        <f>SUM(F57:F69)</f>
        <v>89590.52</v>
      </c>
      <c r="G55" s="150">
        <f>D55+E55-F55</f>
        <v>50342.500000000015</v>
      </c>
      <c r="H55" s="224"/>
    </row>
    <row r="56" spans="1:8" ht="12.75">
      <c r="A56" s="225"/>
      <c r="B56" s="226" t="s">
        <v>180</v>
      </c>
      <c r="C56" s="227"/>
      <c r="D56" s="228"/>
      <c r="E56" s="228">
        <f>6756*1*12</f>
        <v>81072</v>
      </c>
      <c r="F56" s="228"/>
      <c r="G56" s="228"/>
      <c r="H56" s="229"/>
    </row>
    <row r="57" spans="1:8" ht="12.75">
      <c r="A57" s="230"/>
      <c r="B57" s="231" t="s">
        <v>181</v>
      </c>
      <c r="C57" s="158"/>
      <c r="D57" s="232"/>
      <c r="E57" s="232">
        <v>-1249.92</v>
      </c>
      <c r="F57" s="147"/>
      <c r="G57" s="233" t="s">
        <v>0</v>
      </c>
      <c r="H57" s="234"/>
    </row>
    <row r="58" spans="1:8" ht="12.75">
      <c r="A58" s="235"/>
      <c r="B58" s="236" t="s">
        <v>182</v>
      </c>
      <c r="C58" s="158"/>
      <c r="D58" s="232"/>
      <c r="E58" s="237"/>
      <c r="F58" s="147">
        <v>79160</v>
      </c>
      <c r="G58" s="238"/>
      <c r="H58" s="234"/>
    </row>
    <row r="59" spans="1:8" ht="12.75">
      <c r="A59" s="230"/>
      <c r="B59" s="231" t="s">
        <v>183</v>
      </c>
      <c r="C59" s="158"/>
      <c r="D59" s="232"/>
      <c r="E59" s="232"/>
      <c r="F59" s="147">
        <v>1240.09</v>
      </c>
      <c r="G59" s="233"/>
      <c r="H59" s="234"/>
    </row>
    <row r="60" spans="1:8" ht="12.75">
      <c r="A60" s="239"/>
      <c r="B60" s="240" t="s">
        <v>184</v>
      </c>
      <c r="C60" s="241"/>
      <c r="D60" s="242"/>
      <c r="E60" s="242"/>
      <c r="F60" s="155">
        <v>384.06</v>
      </c>
      <c r="G60" s="238"/>
      <c r="H60" s="243"/>
    </row>
    <row r="61" spans="1:8" ht="12.75">
      <c r="A61" s="239"/>
      <c r="B61" s="240" t="s">
        <v>185</v>
      </c>
      <c r="C61" s="241"/>
      <c r="D61" s="242"/>
      <c r="E61" s="242"/>
      <c r="F61" s="155">
        <v>1214.7</v>
      </c>
      <c r="G61" s="238"/>
      <c r="H61" s="243"/>
    </row>
    <row r="62" spans="1:8" ht="12.75">
      <c r="A62" s="239"/>
      <c r="B62" s="240" t="s">
        <v>186</v>
      </c>
      <c r="C62" s="241"/>
      <c r="D62" s="242"/>
      <c r="E62" s="242"/>
      <c r="F62" s="155">
        <v>121.77</v>
      </c>
      <c r="G62" s="238"/>
      <c r="H62" s="243"/>
    </row>
    <row r="63" spans="1:8" ht="12.75">
      <c r="A63" s="239"/>
      <c r="B63" s="240" t="s">
        <v>187</v>
      </c>
      <c r="C63" s="241"/>
      <c r="D63" s="242"/>
      <c r="E63" s="242"/>
      <c r="F63" s="155">
        <v>1773.61</v>
      </c>
      <c r="G63" s="238"/>
      <c r="H63" s="243"/>
    </row>
    <row r="64" spans="1:8" ht="12.75">
      <c r="A64" s="239"/>
      <c r="B64" s="240" t="s">
        <v>188</v>
      </c>
      <c r="C64" s="241"/>
      <c r="D64" s="242"/>
      <c r="E64" s="242"/>
      <c r="F64" s="155">
        <v>216.85</v>
      </c>
      <c r="G64" s="238"/>
      <c r="H64" s="243"/>
    </row>
    <row r="65" spans="1:8" ht="12.75">
      <c r="A65" s="239"/>
      <c r="B65" s="240" t="s">
        <v>189</v>
      </c>
      <c r="C65" s="241"/>
      <c r="D65" s="242"/>
      <c r="E65" s="242"/>
      <c r="F65" s="155">
        <v>526.53</v>
      </c>
      <c r="G65" s="238"/>
      <c r="H65" s="243"/>
    </row>
    <row r="66" spans="1:8" ht="12.75">
      <c r="A66" s="239"/>
      <c r="B66" s="240" t="s">
        <v>190</v>
      </c>
      <c r="C66" s="241"/>
      <c r="D66" s="242"/>
      <c r="E66" s="242"/>
      <c r="F66" s="155">
        <v>2400</v>
      </c>
      <c r="G66" s="238"/>
      <c r="H66" s="243"/>
    </row>
    <row r="67" spans="1:8" ht="12.75">
      <c r="A67" s="239"/>
      <c r="B67" s="240" t="s">
        <v>191</v>
      </c>
      <c r="C67" s="241"/>
      <c r="D67" s="242"/>
      <c r="E67" s="242"/>
      <c r="F67" s="155">
        <v>2245.68</v>
      </c>
      <c r="G67" s="238"/>
      <c r="H67" s="243"/>
    </row>
    <row r="68" spans="1:8" ht="12.75">
      <c r="A68" s="239"/>
      <c r="B68" s="240" t="s">
        <v>192</v>
      </c>
      <c r="C68" s="241"/>
      <c r="D68" s="242"/>
      <c r="E68" s="242"/>
      <c r="F68" s="155">
        <v>183.61</v>
      </c>
      <c r="G68" s="238"/>
      <c r="H68" s="243"/>
    </row>
    <row r="69" spans="1:8" ht="12.75">
      <c r="A69" s="239"/>
      <c r="B69" s="240" t="s">
        <v>193</v>
      </c>
      <c r="C69" s="241"/>
      <c r="D69" s="242"/>
      <c r="E69" s="242"/>
      <c r="F69" s="155">
        <v>123.62</v>
      </c>
      <c r="G69" s="238"/>
      <c r="H69" s="243"/>
    </row>
    <row r="70" spans="1:8" ht="12.75">
      <c r="A70" s="127" t="s">
        <v>8</v>
      </c>
      <c r="B70" s="128" t="s">
        <v>136</v>
      </c>
      <c r="C70" s="128"/>
      <c r="D70" s="128" t="s">
        <v>137</v>
      </c>
      <c r="E70" s="128" t="s">
        <v>138</v>
      </c>
      <c r="F70" s="128" t="s">
        <v>22</v>
      </c>
      <c r="G70" s="128" t="s">
        <v>139</v>
      </c>
      <c r="H70" s="129" t="s">
        <v>140</v>
      </c>
    </row>
    <row r="71" spans="1:8" ht="12.75">
      <c r="A71" s="130"/>
      <c r="B71" s="131"/>
      <c r="C71" s="131"/>
      <c r="D71" s="132" t="s">
        <v>141</v>
      </c>
      <c r="E71" s="132">
        <v>2013</v>
      </c>
      <c r="F71" s="132">
        <v>2013</v>
      </c>
      <c r="G71" s="132"/>
      <c r="H71" s="133" t="s">
        <v>142</v>
      </c>
    </row>
    <row r="72" spans="1:8" ht="12.75">
      <c r="A72" s="244">
        <v>2</v>
      </c>
      <c r="B72" s="136" t="s">
        <v>194</v>
      </c>
      <c r="C72" s="136"/>
      <c r="D72" s="150">
        <v>3797.75</v>
      </c>
      <c r="E72" s="150">
        <f>SUM(E73:E81)</f>
        <v>20921.519999999997</v>
      </c>
      <c r="F72" s="150">
        <f>SUM(F73:F81)</f>
        <v>7946.360000000001</v>
      </c>
      <c r="G72" s="150">
        <f>D72+E72-F72</f>
        <v>16772.909999999996</v>
      </c>
      <c r="H72" s="151"/>
    </row>
    <row r="73" spans="1:8" ht="12.75">
      <c r="A73" s="245"/>
      <c r="B73" s="145" t="s">
        <v>195</v>
      </c>
      <c r="C73" s="158"/>
      <c r="D73" s="233"/>
      <c r="E73" s="228">
        <f>3278.6*0.5*12</f>
        <v>19671.6</v>
      </c>
      <c r="F73" s="147"/>
      <c r="G73" s="233"/>
      <c r="H73" s="160"/>
    </row>
    <row r="74" spans="1:8" ht="12.75">
      <c r="A74" s="245"/>
      <c r="B74" s="145" t="s">
        <v>181</v>
      </c>
      <c r="C74" s="158"/>
      <c r="D74" s="233"/>
      <c r="E74" s="233">
        <v>1249.92</v>
      </c>
      <c r="F74" s="147"/>
      <c r="G74" s="233"/>
      <c r="H74" s="160"/>
    </row>
    <row r="75" spans="1:8" ht="12.75">
      <c r="A75" s="245"/>
      <c r="B75" s="145" t="s">
        <v>196</v>
      </c>
      <c r="C75" s="158"/>
      <c r="D75" s="233"/>
      <c r="E75" s="233"/>
      <c r="F75" s="147">
        <v>4043.85</v>
      </c>
      <c r="G75" s="233"/>
      <c r="H75" s="160"/>
    </row>
    <row r="76" spans="1:8" ht="12.75">
      <c r="A76" s="246"/>
      <c r="B76" s="140" t="s">
        <v>197</v>
      </c>
      <c r="C76" s="247"/>
      <c r="D76" s="248"/>
      <c r="E76" s="248"/>
      <c r="F76" s="142">
        <v>116.85</v>
      </c>
      <c r="G76" s="248"/>
      <c r="H76" s="249"/>
    </row>
    <row r="77" spans="1:8" ht="12.75">
      <c r="A77" s="246"/>
      <c r="B77" s="140" t="s">
        <v>198</v>
      </c>
      <c r="C77" s="247"/>
      <c r="D77" s="248"/>
      <c r="E77" s="248"/>
      <c r="F77" s="142">
        <v>561.81</v>
      </c>
      <c r="G77" s="248"/>
      <c r="H77" s="249"/>
    </row>
    <row r="78" spans="1:8" ht="12.75">
      <c r="A78" s="246"/>
      <c r="B78" s="140" t="s">
        <v>199</v>
      </c>
      <c r="C78" s="247"/>
      <c r="D78" s="248"/>
      <c r="E78" s="248"/>
      <c r="F78" s="142">
        <v>182.4</v>
      </c>
      <c r="G78" s="248"/>
      <c r="H78" s="249"/>
    </row>
    <row r="79" spans="1:8" ht="12.75">
      <c r="A79" s="246"/>
      <c r="B79" s="140" t="s">
        <v>183</v>
      </c>
      <c r="C79" s="247"/>
      <c r="D79" s="248"/>
      <c r="E79" s="248"/>
      <c r="F79" s="142">
        <v>330</v>
      </c>
      <c r="G79" s="248"/>
      <c r="H79" s="249"/>
    </row>
    <row r="80" spans="1:8" ht="12.75">
      <c r="A80" s="246"/>
      <c r="B80" s="140" t="s">
        <v>200</v>
      </c>
      <c r="C80" s="247"/>
      <c r="D80" s="248"/>
      <c r="E80" s="248"/>
      <c r="F80" s="142">
        <v>1711.45</v>
      </c>
      <c r="G80" s="248"/>
      <c r="H80" s="249"/>
    </row>
    <row r="81" spans="1:8" ht="12.75">
      <c r="A81" s="246"/>
      <c r="B81" s="140" t="s">
        <v>201</v>
      </c>
      <c r="C81" s="247"/>
      <c r="D81" s="248"/>
      <c r="E81" s="248"/>
      <c r="F81" s="142">
        <v>1000</v>
      </c>
      <c r="G81" s="248"/>
      <c r="H81" s="249"/>
    </row>
    <row r="82" spans="1:8" ht="12.75">
      <c r="A82" s="250"/>
      <c r="B82" s="251"/>
      <c r="C82" s="168"/>
      <c r="D82" s="49"/>
      <c r="E82" s="49"/>
      <c r="F82" s="252"/>
      <c r="G82" s="49"/>
      <c r="H82" s="55"/>
    </row>
    <row r="83" spans="1:8" ht="12.75">
      <c r="A83" s="244">
        <v>3</v>
      </c>
      <c r="B83" s="136" t="s">
        <v>202</v>
      </c>
      <c r="C83" s="136"/>
      <c r="D83" s="150">
        <v>1787.58</v>
      </c>
      <c r="E83" s="150">
        <f>SUM(E84:E86)</f>
        <v>2242.08</v>
      </c>
      <c r="F83" s="150">
        <f>SUM(F84:F86)</f>
        <v>1117.6</v>
      </c>
      <c r="G83" s="150">
        <f>D83+E83-F83</f>
        <v>2912.06</v>
      </c>
      <c r="H83" s="151"/>
    </row>
    <row r="84" spans="1:8" ht="12.75">
      <c r="A84" s="225"/>
      <c r="B84" s="227" t="s">
        <v>203</v>
      </c>
      <c r="C84" s="227"/>
      <c r="D84" s="228"/>
      <c r="E84" s="228">
        <f>622.8*0.3*12</f>
        <v>2242.08</v>
      </c>
      <c r="F84" s="228"/>
      <c r="G84" s="228"/>
      <c r="H84" s="188"/>
    </row>
    <row r="85" spans="1:8" ht="12.75">
      <c r="A85" s="230"/>
      <c r="B85" s="158" t="s">
        <v>196</v>
      </c>
      <c r="C85" s="158"/>
      <c r="D85" s="233"/>
      <c r="E85" s="233"/>
      <c r="F85" s="233">
        <v>896.4</v>
      </c>
      <c r="G85" s="233"/>
      <c r="H85" s="160"/>
    </row>
    <row r="86" spans="1:8" ht="12.75">
      <c r="A86" s="230"/>
      <c r="B86" s="158" t="s">
        <v>198</v>
      </c>
      <c r="C86" s="158"/>
      <c r="D86" s="233"/>
      <c r="E86" s="233"/>
      <c r="F86" s="233">
        <v>221.2</v>
      </c>
      <c r="G86" s="233"/>
      <c r="H86" s="160"/>
    </row>
    <row r="87" spans="1:8" ht="12.75">
      <c r="A87" s="130"/>
      <c r="B87" s="131"/>
      <c r="C87" s="131"/>
      <c r="D87" s="132"/>
      <c r="E87" s="132"/>
      <c r="F87" s="132"/>
      <c r="G87" s="132"/>
      <c r="H87" s="133"/>
    </row>
    <row r="88" spans="1:8" ht="12.75">
      <c r="A88" s="195">
        <v>10</v>
      </c>
      <c r="B88" s="253" t="s">
        <v>204</v>
      </c>
      <c r="C88" s="196"/>
      <c r="D88" s="198">
        <f>SUM(D89:D105)</f>
        <v>-7237.85</v>
      </c>
      <c r="E88" s="198">
        <f>E89+E97+E103+E105</f>
        <v>270696.45</v>
      </c>
      <c r="F88" s="198">
        <f>F89+F97+F103+F105</f>
        <v>257945.53000000003</v>
      </c>
      <c r="G88" s="198">
        <f>SUM(G89:G105)</f>
        <v>5513.069999999957</v>
      </c>
      <c r="H88" s="199"/>
    </row>
    <row r="89" spans="1:8" ht="12.75">
      <c r="A89" s="254">
        <v>1</v>
      </c>
      <c r="B89" s="255" t="s">
        <v>36</v>
      </c>
      <c r="C89" s="256"/>
      <c r="D89" s="257">
        <v>-7237.85</v>
      </c>
      <c r="E89" s="257">
        <f>SUM(E90:E91)</f>
        <v>57875.19</v>
      </c>
      <c r="F89" s="257">
        <f>SUM(F91:F95)</f>
        <v>50637.340000000004</v>
      </c>
      <c r="G89" s="257">
        <f>D89+E89-F89</f>
        <v>0</v>
      </c>
      <c r="H89" s="166"/>
    </row>
    <row r="90" spans="1:8" ht="12.75">
      <c r="A90" s="235"/>
      <c r="B90" s="258" t="s">
        <v>205</v>
      </c>
      <c r="C90" s="140"/>
      <c r="D90" s="142"/>
      <c r="E90" s="142">
        <f>4705*12</f>
        <v>56460</v>
      </c>
      <c r="F90" s="142"/>
      <c r="G90" s="142"/>
      <c r="H90" s="249"/>
    </row>
    <row r="91" spans="1:8" ht="12.75">
      <c r="A91" s="235"/>
      <c r="B91" s="258" t="s">
        <v>206</v>
      </c>
      <c r="C91" s="140"/>
      <c r="D91" s="142"/>
      <c r="E91" s="142">
        <v>1415.19</v>
      </c>
      <c r="F91" s="142">
        <v>1373.71</v>
      </c>
      <c r="G91" s="142"/>
      <c r="H91" s="249"/>
    </row>
    <row r="92" spans="1:8" ht="12.75">
      <c r="A92" s="235"/>
      <c r="B92" s="259" t="s">
        <v>207</v>
      </c>
      <c r="C92" s="260"/>
      <c r="D92" s="261"/>
      <c r="E92" s="261"/>
      <c r="F92" s="261">
        <f>8140+541+27935.55</f>
        <v>36616.55</v>
      </c>
      <c r="G92" s="142"/>
      <c r="H92" s="249"/>
    </row>
    <row r="93" spans="1:8" ht="12.75">
      <c r="A93" s="235"/>
      <c r="B93" s="259" t="s">
        <v>208</v>
      </c>
      <c r="C93" s="260"/>
      <c r="D93" s="261"/>
      <c r="E93" s="261"/>
      <c r="F93" s="261">
        <f>900</f>
        <v>900</v>
      </c>
      <c r="G93" s="142"/>
      <c r="H93" s="249"/>
    </row>
    <row r="94" spans="1:8" ht="12.75">
      <c r="A94" s="235"/>
      <c r="B94" s="259" t="s">
        <v>209</v>
      </c>
      <c r="C94" s="260"/>
      <c r="D94" s="261"/>
      <c r="E94" s="261"/>
      <c r="F94" s="261">
        <v>10430.68</v>
      </c>
      <c r="G94" s="142"/>
      <c r="H94" s="249"/>
    </row>
    <row r="95" spans="1:8" ht="12.75">
      <c r="A95" s="235"/>
      <c r="B95" s="259" t="s">
        <v>210</v>
      </c>
      <c r="C95" s="260"/>
      <c r="D95" s="261"/>
      <c r="E95" s="261"/>
      <c r="F95" s="261">
        <v>1316.4</v>
      </c>
      <c r="G95" s="142"/>
      <c r="H95" s="249"/>
    </row>
    <row r="96" spans="1:8" ht="12.75">
      <c r="A96" s="235"/>
      <c r="B96" s="258"/>
      <c r="C96" s="140"/>
      <c r="D96" s="142"/>
      <c r="E96" s="142"/>
      <c r="F96" s="142"/>
      <c r="G96" s="142"/>
      <c r="H96" s="249"/>
    </row>
    <row r="97" spans="1:8" ht="12.75">
      <c r="A97" s="230">
        <v>2</v>
      </c>
      <c r="B97" s="145" t="s">
        <v>211</v>
      </c>
      <c r="C97" s="145"/>
      <c r="D97" s="147"/>
      <c r="E97" s="147">
        <v>8717.24</v>
      </c>
      <c r="F97" s="142">
        <f>SUM(F98:F101)</f>
        <v>6504.33</v>
      </c>
      <c r="G97" s="147">
        <f>D97+E97-F97</f>
        <v>2212.91</v>
      </c>
      <c r="H97" s="160"/>
    </row>
    <row r="98" spans="1:8" ht="12.75">
      <c r="A98" s="230"/>
      <c r="B98" s="262" t="s">
        <v>212</v>
      </c>
      <c r="C98" s="145"/>
      <c r="D98" s="147"/>
      <c r="E98" s="147"/>
      <c r="F98" s="159">
        <f>1045+219.36</f>
        <v>1264.3600000000001</v>
      </c>
      <c r="G98" s="147"/>
      <c r="H98" s="160"/>
    </row>
    <row r="99" spans="1:8" ht="12.75">
      <c r="A99" s="230"/>
      <c r="B99" s="262" t="s">
        <v>213</v>
      </c>
      <c r="C99" s="145"/>
      <c r="D99" s="147"/>
      <c r="E99" s="147"/>
      <c r="F99" s="159">
        <f>1162.36+570.9</f>
        <v>1733.2599999999998</v>
      </c>
      <c r="G99" s="147"/>
      <c r="H99" s="160"/>
    </row>
    <row r="100" spans="1:8" ht="12.75">
      <c r="A100" s="230"/>
      <c r="B100" s="262" t="s">
        <v>209</v>
      </c>
      <c r="C100" s="145"/>
      <c r="D100" s="147"/>
      <c r="E100" s="147"/>
      <c r="F100" s="159">
        <f>245.49+239.49+291.99+233.86+234.32+240.16+265.42+257.82+572.94+217.41+223.68+243.87</f>
        <v>3266.45</v>
      </c>
      <c r="G100" s="147"/>
      <c r="H100" s="160"/>
    </row>
    <row r="101" spans="1:8" ht="12.75">
      <c r="A101" s="230"/>
      <c r="B101" s="262" t="s">
        <v>210</v>
      </c>
      <c r="C101" s="145"/>
      <c r="D101" s="147"/>
      <c r="E101" s="147"/>
      <c r="F101" s="159">
        <f>2.91+4.42+2.62+13.78+7.86+16.61+12.17+8.31+3.67+3.26+11.43+3.22+150</f>
        <v>240.26</v>
      </c>
      <c r="G101" s="147"/>
      <c r="H101" s="160"/>
    </row>
    <row r="102" spans="1:8" ht="12.75">
      <c r="A102" s="230"/>
      <c r="B102" s="262"/>
      <c r="C102" s="145"/>
      <c r="D102" s="147"/>
      <c r="E102" s="147"/>
      <c r="F102" s="159"/>
      <c r="G102" s="147"/>
      <c r="H102" s="160"/>
    </row>
    <row r="103" spans="1:8" ht="12.75">
      <c r="A103" s="230">
        <v>3</v>
      </c>
      <c r="B103" s="145" t="s">
        <v>214</v>
      </c>
      <c r="C103" s="145"/>
      <c r="D103" s="147"/>
      <c r="E103" s="147">
        <v>1243.31</v>
      </c>
      <c r="F103" s="147">
        <v>1332.51</v>
      </c>
      <c r="G103" s="147">
        <f>D103+E103-F103</f>
        <v>-89.20000000000005</v>
      </c>
      <c r="H103" s="160"/>
    </row>
    <row r="104" spans="1:8" ht="12.75">
      <c r="A104" s="230"/>
      <c r="B104" s="145"/>
      <c r="C104" s="145"/>
      <c r="D104" s="147"/>
      <c r="E104" s="147"/>
      <c r="F104" s="147"/>
      <c r="G104" s="147"/>
      <c r="H104" s="160"/>
    </row>
    <row r="105" spans="1:8" ht="12.75">
      <c r="A105" s="230">
        <v>4</v>
      </c>
      <c r="B105" s="145" t="s">
        <v>215</v>
      </c>
      <c r="C105" s="263">
        <f>SUM(C106:C122)</f>
        <v>30605.239999999998</v>
      </c>
      <c r="D105" s="147"/>
      <c r="E105" s="147">
        <f>SUM(E106:E122)</f>
        <v>202860.71</v>
      </c>
      <c r="F105" s="142">
        <f>SUM(F106:F127)</f>
        <v>199471.35000000003</v>
      </c>
      <c r="G105" s="147">
        <f>D105+E105-F105</f>
        <v>3389.359999999957</v>
      </c>
      <c r="H105" s="160"/>
    </row>
    <row r="106" spans="1:8" ht="12.75">
      <c r="A106" s="264" t="s">
        <v>0</v>
      </c>
      <c r="B106" s="262" t="s">
        <v>216</v>
      </c>
      <c r="C106" s="265">
        <v>3402.8</v>
      </c>
      <c r="D106" s="159"/>
      <c r="E106" s="159">
        <f>3402.8*0.6*12</f>
        <v>24500.160000000007</v>
      </c>
      <c r="F106" s="159"/>
      <c r="G106" s="159" t="s">
        <v>0</v>
      </c>
      <c r="H106" s="160"/>
    </row>
    <row r="107" spans="1:8" ht="12.75">
      <c r="A107" s="264" t="s">
        <v>0</v>
      </c>
      <c r="B107" s="262" t="s">
        <v>217</v>
      </c>
      <c r="C107" s="265">
        <v>2424.5</v>
      </c>
      <c r="D107" s="159"/>
      <c r="E107" s="159">
        <f>2424.5*0.6*12</f>
        <v>17456.4</v>
      </c>
      <c r="F107" s="159"/>
      <c r="G107" s="159" t="s">
        <v>0</v>
      </c>
      <c r="H107" s="160"/>
    </row>
    <row r="108" spans="1:8" ht="12.75">
      <c r="A108" s="264" t="s">
        <v>0</v>
      </c>
      <c r="B108" s="262" t="s">
        <v>218</v>
      </c>
      <c r="C108" s="265">
        <v>1928.6</v>
      </c>
      <c r="D108" s="159"/>
      <c r="E108" s="159">
        <f>1928.6*0.6*12-0.01</f>
        <v>13885.910000000002</v>
      </c>
      <c r="F108" s="159"/>
      <c r="G108" s="159" t="s">
        <v>0</v>
      </c>
      <c r="H108" s="266"/>
    </row>
    <row r="109" spans="1:8" ht="12.75">
      <c r="A109" s="264" t="s">
        <v>0</v>
      </c>
      <c r="B109" s="262" t="s">
        <v>219</v>
      </c>
      <c r="C109" s="265">
        <v>1637.8</v>
      </c>
      <c r="D109" s="159"/>
      <c r="E109" s="159">
        <f>1637.8*0.6*12</f>
        <v>11792.16</v>
      </c>
      <c r="F109" s="159"/>
      <c r="G109" s="159" t="s">
        <v>0</v>
      </c>
      <c r="H109" s="266"/>
    </row>
    <row r="110" spans="1:8" ht="12.75">
      <c r="A110" s="264" t="s">
        <v>0</v>
      </c>
      <c r="B110" s="262" t="s">
        <v>220</v>
      </c>
      <c r="C110" s="265">
        <v>2129.1</v>
      </c>
      <c r="D110" s="159"/>
      <c r="E110" s="159">
        <f>2129.1*0.6*12</f>
        <v>15329.52</v>
      </c>
      <c r="F110" s="159"/>
      <c r="G110" s="159" t="s">
        <v>0</v>
      </c>
      <c r="H110" s="266"/>
    </row>
    <row r="111" spans="1:8" ht="12.75">
      <c r="A111" s="264" t="s">
        <v>0</v>
      </c>
      <c r="B111" s="262" t="s">
        <v>221</v>
      </c>
      <c r="C111" s="265">
        <v>3370</v>
      </c>
      <c r="D111" s="159"/>
      <c r="E111" s="159">
        <f>3370*0.6*12</f>
        <v>24264.000000000004</v>
      </c>
      <c r="F111" s="159"/>
      <c r="G111" s="159" t="s">
        <v>0</v>
      </c>
      <c r="H111" s="266"/>
    </row>
    <row r="112" spans="1:8" ht="12.75">
      <c r="A112" s="264"/>
      <c r="B112" s="262" t="s">
        <v>222</v>
      </c>
      <c r="C112" s="265">
        <v>2822.5</v>
      </c>
      <c r="D112" s="159"/>
      <c r="E112" s="159">
        <f>2822.5*0.6*12</f>
        <v>20322.000000000004</v>
      </c>
      <c r="F112" s="159"/>
      <c r="G112" s="159"/>
      <c r="H112" s="266"/>
    </row>
    <row r="113" spans="1:8" ht="12.75">
      <c r="A113" s="264"/>
      <c r="B113" s="262" t="s">
        <v>223</v>
      </c>
      <c r="C113" s="265">
        <v>477</v>
      </c>
      <c r="D113" s="159"/>
      <c r="E113" s="159">
        <f>477*0.5*12</f>
        <v>2862</v>
      </c>
      <c r="F113" s="159"/>
      <c r="G113" s="159"/>
      <c r="H113" s="266"/>
    </row>
    <row r="114" spans="1:8" ht="12.75">
      <c r="A114" s="264"/>
      <c r="B114" s="262" t="s">
        <v>224</v>
      </c>
      <c r="C114" s="265">
        <v>673.4</v>
      </c>
      <c r="D114" s="159"/>
      <c r="E114" s="159">
        <f>673.4*0.5*12</f>
        <v>4040.3999999999996</v>
      </c>
      <c r="F114" s="159"/>
      <c r="G114" s="159"/>
      <c r="H114" s="266"/>
    </row>
    <row r="115" spans="1:8" ht="12.75">
      <c r="A115" s="264"/>
      <c r="B115" s="262" t="s">
        <v>225</v>
      </c>
      <c r="C115" s="262">
        <v>982.66</v>
      </c>
      <c r="D115" s="159"/>
      <c r="E115" s="159">
        <f>982.66*0.5*12</f>
        <v>5895.96</v>
      </c>
      <c r="F115" s="159"/>
      <c r="G115" s="159"/>
      <c r="H115" s="266"/>
    </row>
    <row r="116" spans="1:8" ht="12.75">
      <c r="A116" s="264"/>
      <c r="B116" s="262" t="s">
        <v>226</v>
      </c>
      <c r="C116" s="262">
        <v>877.62</v>
      </c>
      <c r="D116" s="159"/>
      <c r="E116" s="159">
        <f>877.62*0.5*12</f>
        <v>5265.72</v>
      </c>
      <c r="F116" s="159"/>
      <c r="G116" s="159"/>
      <c r="H116" s="266"/>
    </row>
    <row r="117" spans="1:8" ht="12.75">
      <c r="A117" s="264"/>
      <c r="B117" s="262" t="s">
        <v>227</v>
      </c>
      <c r="C117" s="262">
        <v>905.3</v>
      </c>
      <c r="D117" s="159"/>
      <c r="E117" s="159">
        <f>905.3*0.6*12</f>
        <v>6518.160000000001</v>
      </c>
      <c r="F117" s="159"/>
      <c r="G117" s="159"/>
      <c r="H117" s="266"/>
    </row>
    <row r="118" spans="1:8" ht="12.75">
      <c r="A118" s="264"/>
      <c r="B118" s="262" t="s">
        <v>228</v>
      </c>
      <c r="C118" s="262">
        <v>1004.6</v>
      </c>
      <c r="D118" s="159"/>
      <c r="E118" s="159">
        <f>1004.6*0.6*12</f>
        <v>7233.120000000001</v>
      </c>
      <c r="F118" s="159"/>
      <c r="G118" s="159"/>
      <c r="H118" s="266"/>
    </row>
    <row r="119" spans="1:8" ht="12.75">
      <c r="A119" s="267"/>
      <c r="B119" s="268" t="s">
        <v>229</v>
      </c>
      <c r="C119" s="268">
        <v>2195.9</v>
      </c>
      <c r="D119" s="269"/>
      <c r="E119" s="269">
        <f>2195.9*0.55*12+0.06</f>
        <v>14493.000000000002</v>
      </c>
      <c r="F119" s="269"/>
      <c r="G119" s="269"/>
      <c r="H119" s="266"/>
    </row>
    <row r="120" spans="1:8" ht="12.75">
      <c r="A120" s="264"/>
      <c r="B120" s="262" t="s">
        <v>230</v>
      </c>
      <c r="C120" s="262">
        <v>1967.2</v>
      </c>
      <c r="D120" s="159"/>
      <c r="E120" s="159">
        <f>1967.2*0.6*12</f>
        <v>14163.840000000002</v>
      </c>
      <c r="F120" s="159"/>
      <c r="G120" s="159"/>
      <c r="H120" s="266"/>
    </row>
    <row r="121" spans="1:8" ht="12.75">
      <c r="A121" s="264"/>
      <c r="B121" s="262" t="s">
        <v>231</v>
      </c>
      <c r="C121" s="262">
        <v>2028.66</v>
      </c>
      <c r="D121" s="159"/>
      <c r="E121" s="159">
        <f>2028.66*0.5*12</f>
        <v>12171.960000000001</v>
      </c>
      <c r="F121" s="159"/>
      <c r="G121" s="269"/>
      <c r="H121" s="266"/>
    </row>
    <row r="122" spans="1:8" ht="12.75">
      <c r="A122" s="264"/>
      <c r="B122" s="262" t="s">
        <v>232</v>
      </c>
      <c r="C122" s="262">
        <v>1777.6</v>
      </c>
      <c r="D122" s="159"/>
      <c r="E122" s="159">
        <f>1777.6*0.5*3</f>
        <v>2666.3999999999996</v>
      </c>
      <c r="F122" s="159"/>
      <c r="G122" s="269"/>
      <c r="H122" s="266"/>
    </row>
    <row r="123" spans="1:8" ht="12.75">
      <c r="A123" s="264"/>
      <c r="B123" s="262" t="s">
        <v>233</v>
      </c>
      <c r="C123" s="262"/>
      <c r="D123" s="159"/>
      <c r="E123" s="159"/>
      <c r="F123" s="159">
        <f>12659.2+12659.2+2000+12520+12659.2+12659.2+12520+12659.2+12659.2+12659.2+12450.4+12659.2+12659.2</f>
        <v>153423.2</v>
      </c>
      <c r="G123" s="269"/>
      <c r="H123" s="266"/>
    </row>
    <row r="124" spans="1:8" ht="12.75">
      <c r="A124" s="264"/>
      <c r="B124" s="262" t="s">
        <v>234</v>
      </c>
      <c r="C124" s="262"/>
      <c r="D124" s="159"/>
      <c r="E124" s="159"/>
      <c r="F124" s="159">
        <f>2229.42+2625.52+2625.52+2507.07+2625.52+2625.52+2221.68+2625.52+2625.52+2625.52+2031.64+2625.52</f>
        <v>29993.97</v>
      </c>
      <c r="G124" s="269"/>
      <c r="H124" s="266"/>
    </row>
    <row r="125" spans="1:8" ht="12.75">
      <c r="A125" s="264"/>
      <c r="B125" s="262" t="s">
        <v>235</v>
      </c>
      <c r="C125" s="262"/>
      <c r="D125" s="159"/>
      <c r="E125" s="159"/>
      <c r="F125" s="159">
        <v>732</v>
      </c>
      <c r="G125" s="269"/>
      <c r="H125" s="266"/>
    </row>
    <row r="126" spans="1:8" ht="12.75">
      <c r="A126" s="264"/>
      <c r="B126" s="262" t="s">
        <v>236</v>
      </c>
      <c r="C126" s="262"/>
      <c r="D126" s="159"/>
      <c r="E126" s="159"/>
      <c r="F126" s="159">
        <f>58.1+110.2+120+28.5+72+117.6+30.4+72.2+80+28.5+700.95+19+80+30.4+45.6+80+324.22+30.4+83.8+28.5+190.4+41.8+22.8+1653.9+38</f>
        <v>4087.270000000001</v>
      </c>
      <c r="G126" s="269"/>
      <c r="H126" s="266"/>
    </row>
    <row r="127" spans="1:8" ht="12.75">
      <c r="A127" s="264"/>
      <c r="B127" s="262" t="s">
        <v>209</v>
      </c>
      <c r="C127" s="262"/>
      <c r="D127" s="159"/>
      <c r="E127" s="159"/>
      <c r="F127" s="159">
        <f>1157.9+902.47+1125.6+646.92+621.18+964.32+1553.72+1145.06+963.32+594.03+560.1+1000.29</f>
        <v>11234.91</v>
      </c>
      <c r="G127" s="269"/>
      <c r="H127" s="266"/>
    </row>
    <row r="128" spans="1:8" ht="12.75">
      <c r="A128" s="270"/>
      <c r="B128" s="271"/>
      <c r="C128" s="191"/>
      <c r="D128" s="242"/>
      <c r="E128" s="54"/>
      <c r="F128" s="242"/>
      <c r="G128" s="193"/>
      <c r="H128" s="243"/>
    </row>
    <row r="129" spans="1:8" ht="12.75">
      <c r="A129" s="272">
        <v>11</v>
      </c>
      <c r="B129" s="273" t="s">
        <v>237</v>
      </c>
      <c r="C129" s="201"/>
      <c r="D129" s="198">
        <f>SUM(D130:D136)</f>
        <v>2274.54</v>
      </c>
      <c r="E129" s="198">
        <f>SUM(E130:E136)</f>
        <v>1131.73</v>
      </c>
      <c r="F129" s="198">
        <f>SUM(F130:F136)</f>
        <v>3429.97</v>
      </c>
      <c r="G129" s="198">
        <f>SUM(G130:G136)</f>
        <v>-23.699999999999818</v>
      </c>
      <c r="H129" s="199"/>
    </row>
    <row r="130" spans="1:8" ht="12.75">
      <c r="A130" s="274"/>
      <c r="B130" s="275"/>
      <c r="C130" s="276"/>
      <c r="D130" s="277"/>
      <c r="E130" s="277"/>
      <c r="F130" s="278"/>
      <c r="G130" s="277"/>
      <c r="H130" s="279"/>
    </row>
    <row r="131" spans="1:8" ht="12.75">
      <c r="A131" s="264"/>
      <c r="B131" s="146" t="s">
        <v>238</v>
      </c>
      <c r="C131" s="145"/>
      <c r="D131" s="147">
        <f>1044.07+2152.47-922</f>
        <v>2274.54</v>
      </c>
      <c r="E131" s="147"/>
      <c r="F131" s="147"/>
      <c r="G131" s="147">
        <f>D131+D132+E131-F131</f>
        <v>2274.54</v>
      </c>
      <c r="H131" s="280"/>
    </row>
    <row r="132" spans="1:8" ht="12.75">
      <c r="A132" s="264"/>
      <c r="B132" s="146"/>
      <c r="C132" s="145"/>
      <c r="D132" s="147"/>
      <c r="E132" s="147"/>
      <c r="F132" s="147"/>
      <c r="G132" s="147"/>
      <c r="H132" s="280"/>
    </row>
    <row r="133" spans="1:8" ht="12.75">
      <c r="A133" s="264" t="s">
        <v>0</v>
      </c>
      <c r="B133" s="146" t="s">
        <v>239</v>
      </c>
      <c r="C133" s="145"/>
      <c r="D133" s="147"/>
      <c r="E133" s="147">
        <f>1082.1+49.63</f>
        <v>1131.73</v>
      </c>
      <c r="F133" s="147"/>
      <c r="G133" s="147">
        <f>D133+E133-F133</f>
        <v>1131.73</v>
      </c>
      <c r="H133" s="280"/>
    </row>
    <row r="134" spans="1:8" ht="12.75">
      <c r="A134" s="264"/>
      <c r="B134" s="146" t="s">
        <v>240</v>
      </c>
      <c r="C134" s="145"/>
      <c r="D134" s="147"/>
      <c r="E134" s="147"/>
      <c r="F134" s="147">
        <v>102.6</v>
      </c>
      <c r="G134" s="147">
        <f>D134+E134-F134</f>
        <v>-102.6</v>
      </c>
      <c r="H134" s="280"/>
    </row>
    <row r="135" spans="1:8" ht="12.75">
      <c r="A135" s="264" t="s">
        <v>0</v>
      </c>
      <c r="B135" s="281" t="s">
        <v>241</v>
      </c>
      <c r="C135" s="145"/>
      <c r="D135" s="147"/>
      <c r="E135" s="147"/>
      <c r="F135" s="147">
        <v>2878.37</v>
      </c>
      <c r="G135" s="147">
        <f>D135+E135-F135</f>
        <v>-2878.37</v>
      </c>
      <c r="H135" s="280"/>
    </row>
    <row r="136" spans="1:8" ht="12.75">
      <c r="A136" s="157"/>
      <c r="B136" s="281" t="s">
        <v>242</v>
      </c>
      <c r="C136" s="145"/>
      <c r="D136" s="147"/>
      <c r="E136" s="147"/>
      <c r="F136" s="147">
        <f>SUM(F137:F138)</f>
        <v>449</v>
      </c>
      <c r="G136" s="147">
        <f>D136+E136-F136</f>
        <v>-449</v>
      </c>
      <c r="H136" s="280"/>
    </row>
    <row r="137" spans="1:8" ht="12.75">
      <c r="A137" s="157"/>
      <c r="B137" s="282" t="s">
        <v>243</v>
      </c>
      <c r="C137" s="262"/>
      <c r="D137" s="159"/>
      <c r="E137" s="159"/>
      <c r="F137" s="159">
        <v>300</v>
      </c>
      <c r="G137" s="159"/>
      <c r="H137" s="280"/>
    </row>
    <row r="138" spans="1:8" ht="12.75">
      <c r="A138" s="157"/>
      <c r="B138" s="282" t="s">
        <v>244</v>
      </c>
      <c r="C138" s="262"/>
      <c r="D138" s="159"/>
      <c r="E138" s="159"/>
      <c r="F138" s="159">
        <v>149</v>
      </c>
      <c r="G138" s="159"/>
      <c r="H138" s="280"/>
    </row>
    <row r="139" spans="1:8" ht="12.75">
      <c r="A139" s="127" t="s">
        <v>8</v>
      </c>
      <c r="B139" s="128" t="s">
        <v>136</v>
      </c>
      <c r="C139" s="128"/>
      <c r="D139" s="128" t="s">
        <v>137</v>
      </c>
      <c r="E139" s="128" t="s">
        <v>138</v>
      </c>
      <c r="F139" s="128" t="s">
        <v>22</v>
      </c>
      <c r="G139" s="128" t="s">
        <v>139</v>
      </c>
      <c r="H139" s="129" t="s">
        <v>140</v>
      </c>
    </row>
    <row r="140" spans="1:8" ht="12.75">
      <c r="A140" s="130"/>
      <c r="B140" s="131"/>
      <c r="C140" s="131"/>
      <c r="D140" s="132" t="s">
        <v>141</v>
      </c>
      <c r="E140" s="132">
        <v>2013</v>
      </c>
      <c r="F140" s="132">
        <v>2013</v>
      </c>
      <c r="G140" s="132"/>
      <c r="H140" s="133" t="s">
        <v>142</v>
      </c>
    </row>
    <row r="141" spans="1:8" ht="12.75">
      <c r="A141" s="283">
        <v>12</v>
      </c>
      <c r="B141" s="196" t="s">
        <v>245</v>
      </c>
      <c r="C141" s="196"/>
      <c r="D141" s="198">
        <f>D40+D42+D54+D88+D129</f>
        <v>16607.64000000001</v>
      </c>
      <c r="E141" s="198">
        <f>E40+E42+E54+E88+E129</f>
        <v>1157328.23</v>
      </c>
      <c r="F141" s="198">
        <f>F40+F42+F54+F88+F129</f>
        <v>1095105.71</v>
      </c>
      <c r="G141" s="198">
        <f>G40+G42+G54+G88+G129</f>
        <v>78830.15999999999</v>
      </c>
      <c r="H141" s="199"/>
    </row>
    <row r="142" spans="1:8" ht="12.75">
      <c r="A142" s="284"/>
      <c r="B142" s="171" t="s">
        <v>246</v>
      </c>
      <c r="C142" s="171"/>
      <c r="D142" s="173"/>
      <c r="E142" s="173"/>
      <c r="F142" s="173"/>
      <c r="G142" s="173"/>
      <c r="H142" s="188"/>
    </row>
    <row r="143" spans="1:8" ht="12.75">
      <c r="A143" s="285"/>
      <c r="B143" s="145" t="s">
        <v>178</v>
      </c>
      <c r="C143" s="145"/>
      <c r="D143" s="147"/>
      <c r="E143" s="147"/>
      <c r="F143" s="147"/>
      <c r="G143" s="147">
        <f>G54</f>
        <v>70027.47</v>
      </c>
      <c r="H143" s="160"/>
    </row>
    <row r="144" spans="1:8" ht="12.75">
      <c r="A144" s="285"/>
      <c r="B144" s="145" t="s">
        <v>247</v>
      </c>
      <c r="C144" s="145"/>
      <c r="D144" s="147"/>
      <c r="E144" s="147"/>
      <c r="F144" s="147"/>
      <c r="G144" s="147">
        <f>G97+G103+G105+G133</f>
        <v>6644.799999999957</v>
      </c>
      <c r="H144" s="160"/>
    </row>
    <row r="145" spans="1:8" ht="12.75">
      <c r="A145" s="285"/>
      <c r="B145" s="145" t="s">
        <v>248</v>
      </c>
      <c r="C145" s="145"/>
      <c r="D145" s="147"/>
      <c r="E145" s="147"/>
      <c r="F145" s="147"/>
      <c r="G145" s="147">
        <f>G131+G135</f>
        <v>-603.8299999999999</v>
      </c>
      <c r="H145" s="160"/>
    </row>
    <row r="146" spans="1:8" ht="12.75">
      <c r="A146" s="285"/>
      <c r="B146" s="145" t="s">
        <v>249</v>
      </c>
      <c r="C146" s="145"/>
      <c r="D146" s="147"/>
      <c r="E146" s="147"/>
      <c r="F146" s="147"/>
      <c r="G146" s="147">
        <f>G134+G136</f>
        <v>-551.6</v>
      </c>
      <c r="H146" s="160"/>
    </row>
    <row r="147" spans="1:8" ht="12.75">
      <c r="A147" s="285"/>
      <c r="B147" s="145" t="s">
        <v>250</v>
      </c>
      <c r="C147" s="145"/>
      <c r="D147" s="147"/>
      <c r="E147" s="147"/>
      <c r="F147" s="147"/>
      <c r="G147" s="147">
        <f>G19+G29+G31+G33+G38+G45+G47</f>
        <v>52303.020000000004</v>
      </c>
      <c r="H147" s="160"/>
    </row>
    <row r="148" spans="1:8" ht="12.75">
      <c r="A148" s="285"/>
      <c r="B148" s="175" t="s">
        <v>251</v>
      </c>
      <c r="C148" s="145"/>
      <c r="D148" s="147"/>
      <c r="E148" s="147"/>
      <c r="F148" s="147"/>
      <c r="G148" s="147">
        <f>G21</f>
        <v>-27774.519999999997</v>
      </c>
      <c r="H148" s="160"/>
    </row>
    <row r="149" spans="1:8" ht="12.75">
      <c r="A149" s="208"/>
      <c r="B149" s="175" t="s">
        <v>252</v>
      </c>
      <c r="C149" s="145"/>
      <c r="D149" s="147"/>
      <c r="E149" s="147"/>
      <c r="F149" s="147"/>
      <c r="G149" s="147">
        <f>G23+G30+G44+G51+G52</f>
        <v>-21215.179999999993</v>
      </c>
      <c r="H149" s="160"/>
    </row>
    <row r="150" spans="1:8" ht="12.75">
      <c r="A150" s="208"/>
      <c r="B150" s="175"/>
      <c r="C150" s="145"/>
      <c r="D150" s="147"/>
      <c r="E150" s="147"/>
      <c r="F150" s="147"/>
      <c r="G150" s="147"/>
      <c r="H150" s="160"/>
    </row>
    <row r="151" spans="1:8" ht="12.75">
      <c r="A151" s="244">
        <v>13</v>
      </c>
      <c r="B151" s="136" t="s">
        <v>253</v>
      </c>
      <c r="C151" s="136"/>
      <c r="D151" s="150"/>
      <c r="E151" s="150" t="s">
        <v>0</v>
      </c>
      <c r="F151" s="150" t="s">
        <v>0</v>
      </c>
      <c r="G151" s="150">
        <v>1317</v>
      </c>
      <c r="H151" s="151"/>
    </row>
    <row r="152" spans="1:8" ht="12.75">
      <c r="A152" s="208"/>
      <c r="B152" s="175"/>
      <c r="C152" s="145"/>
      <c r="D152" s="147"/>
      <c r="E152" s="147"/>
      <c r="F152" s="147"/>
      <c r="G152" s="147"/>
      <c r="H152" s="160"/>
    </row>
    <row r="153" spans="1:8" ht="12.75">
      <c r="A153" s="244">
        <v>14</v>
      </c>
      <c r="B153" s="136" t="s">
        <v>254</v>
      </c>
      <c r="C153" s="136"/>
      <c r="D153" s="150">
        <f>SUM(D154:D160)</f>
        <v>12905.630000000001</v>
      </c>
      <c r="E153" s="150">
        <f>SUM(E154:E160)</f>
        <v>375270.04</v>
      </c>
      <c r="F153" s="150">
        <f>SUM(F154:F160)</f>
        <v>376625.32</v>
      </c>
      <c r="G153" s="150">
        <f>SUM(G154:G160)</f>
        <v>11550.350000000006</v>
      </c>
      <c r="H153" s="151"/>
    </row>
    <row r="154" spans="1:8" ht="12.75">
      <c r="A154" s="264"/>
      <c r="B154" s="286" t="s">
        <v>255</v>
      </c>
      <c r="C154" s="145"/>
      <c r="D154" s="147"/>
      <c r="E154" s="147">
        <v>156179.68</v>
      </c>
      <c r="F154" s="147">
        <v>156179.68</v>
      </c>
      <c r="G154" s="147"/>
      <c r="H154" s="280"/>
    </row>
    <row r="155" spans="1:8" ht="12.75">
      <c r="A155" s="264"/>
      <c r="B155" s="286" t="s">
        <v>0</v>
      </c>
      <c r="C155" s="145"/>
      <c r="D155" s="147"/>
      <c r="E155" s="147"/>
      <c r="F155" s="147"/>
      <c r="G155" s="147"/>
      <c r="H155" s="280"/>
    </row>
    <row r="156" spans="1:8" ht="12.75">
      <c r="A156" s="264"/>
      <c r="B156" s="286" t="s">
        <v>256</v>
      </c>
      <c r="C156" s="145"/>
      <c r="D156" s="147">
        <v>5123.97</v>
      </c>
      <c r="E156" s="147">
        <f>1041.6*5.3*12</f>
        <v>66245.76</v>
      </c>
      <c r="F156" s="147">
        <v>65656.92</v>
      </c>
      <c r="G156" s="147">
        <f>D156+E156+E157-F156</f>
        <v>4012.8099999999977</v>
      </c>
      <c r="H156" s="280"/>
    </row>
    <row r="157" spans="1:8" ht="12.75">
      <c r="A157" s="264"/>
      <c r="B157" s="286" t="s">
        <v>257</v>
      </c>
      <c r="C157" s="145"/>
      <c r="D157" s="147"/>
      <c r="E157" s="147">
        <v>-1700</v>
      </c>
      <c r="F157" s="147"/>
      <c r="G157" s="147"/>
      <c r="H157" s="280"/>
    </row>
    <row r="158" spans="1:8" ht="12.75">
      <c r="A158" s="264"/>
      <c r="B158" s="286"/>
      <c r="C158" s="145"/>
      <c r="D158" s="147"/>
      <c r="E158" s="147"/>
      <c r="F158" s="147"/>
      <c r="G158" s="147"/>
      <c r="H158" s="280"/>
    </row>
    <row r="159" spans="1:8" ht="12.75">
      <c r="A159" s="264"/>
      <c r="B159" s="286" t="s">
        <v>4</v>
      </c>
      <c r="C159" s="145"/>
      <c r="D159" s="147">
        <v>7781.66</v>
      </c>
      <c r="E159" s="147">
        <f>2237*5.9*12</f>
        <v>158379.6</v>
      </c>
      <c r="F159" s="147">
        <v>154788.72</v>
      </c>
      <c r="G159" s="147">
        <f>D159+E159+E160-F159</f>
        <v>7537.540000000008</v>
      </c>
      <c r="H159" s="280"/>
    </row>
    <row r="160" spans="1:8" ht="12.75">
      <c r="A160" s="287"/>
      <c r="B160" s="286" t="s">
        <v>257</v>
      </c>
      <c r="C160" s="247"/>
      <c r="D160" s="142"/>
      <c r="E160" s="142">
        <v>-3835</v>
      </c>
      <c r="F160" s="142"/>
      <c r="G160" s="142"/>
      <c r="H160" s="279"/>
    </row>
    <row r="161" spans="1:8" ht="12.75">
      <c r="A161" s="288"/>
      <c r="B161" s="286"/>
      <c r="C161" s="179"/>
      <c r="D161" s="289"/>
      <c r="E161" s="289"/>
      <c r="F161" s="289"/>
      <c r="G161" s="289"/>
      <c r="H161" s="182"/>
    </row>
    <row r="162" spans="1:8" ht="12.75">
      <c r="A162" s="290">
        <v>15</v>
      </c>
      <c r="B162" s="291" t="s">
        <v>258</v>
      </c>
      <c r="C162" s="292"/>
      <c r="D162" s="293">
        <f>D141+D153-D151</f>
        <v>29513.27000000001</v>
      </c>
      <c r="E162" s="293">
        <f>E141+E153</f>
        <v>1532598.27</v>
      </c>
      <c r="F162" s="293">
        <f>F141+F153</f>
        <v>1471731.03</v>
      </c>
      <c r="G162" s="293">
        <f>G141+G153-G151</f>
        <v>89063.51</v>
      </c>
      <c r="H162" s="294"/>
    </row>
    <row r="163" spans="2:7" ht="12.75">
      <c r="B163" t="s">
        <v>259</v>
      </c>
      <c r="D163" s="123">
        <v>6930.08</v>
      </c>
      <c r="E163" s="123"/>
      <c r="G163" s="123">
        <f>D162+E162-F162-G151</f>
        <v>89063.51000000001</v>
      </c>
    </row>
    <row r="164" spans="3:5" ht="12.75">
      <c r="C164" s="295"/>
      <c r="D164" s="123"/>
      <c r="E164" s="23"/>
    </row>
    <row r="165" spans="4:5" ht="12.75">
      <c r="D165" s="123"/>
      <c r="E165" s="23"/>
    </row>
    <row r="166" spans="4:5" ht="12.75">
      <c r="D166" s="123"/>
      <c r="E166" s="23"/>
    </row>
    <row r="167" spans="2:7" ht="12.75" outlineLevel="1">
      <c r="B167" t="s">
        <v>260</v>
      </c>
      <c r="D167" s="123">
        <f>D163-D164+D165+D166-0.08</f>
        <v>6930</v>
      </c>
      <c r="E167" s="123"/>
      <c r="G167" s="124" t="s">
        <v>261</v>
      </c>
    </row>
    <row r="168" spans="2:7" ht="12.75">
      <c r="B168" t="s">
        <v>253</v>
      </c>
      <c r="D168" s="123">
        <f>D167*0.19+0.3</f>
        <v>1317</v>
      </c>
      <c r="E168" s="123"/>
      <c r="G168" s="124" t="s">
        <v>262</v>
      </c>
    </row>
    <row r="232" ht="12.75">
      <c r="G232" s="124"/>
    </row>
    <row r="233" spans="2:7" ht="12.75">
      <c r="B233" t="s">
        <v>263</v>
      </c>
      <c r="G233" s="124" t="s">
        <v>133</v>
      </c>
    </row>
    <row r="234" spans="1:8" ht="12.75">
      <c r="A234" s="80"/>
      <c r="B234" s="125" t="s">
        <v>134</v>
      </c>
      <c r="C234" s="126"/>
      <c r="D234" s="126"/>
      <c r="E234" s="126"/>
      <c r="F234" s="126"/>
      <c r="G234" s="124" t="s">
        <v>264</v>
      </c>
      <c r="H234" s="6"/>
    </row>
    <row r="235" spans="1:8" ht="12.75">
      <c r="A235" s="80"/>
      <c r="B235" s="125"/>
      <c r="C235" s="126"/>
      <c r="D235" s="126"/>
      <c r="E235" s="126"/>
      <c r="F235" s="126"/>
      <c r="G235" s="124"/>
      <c r="H235" s="6"/>
    </row>
    <row r="236" spans="1:8" ht="12.75">
      <c r="A236" s="126"/>
      <c r="B236" s="126"/>
      <c r="C236" s="126"/>
      <c r="D236" s="126"/>
      <c r="E236" s="126"/>
      <c r="F236" s="126"/>
      <c r="G236" s="126"/>
      <c r="H236" s="126"/>
    </row>
    <row r="237" spans="1:8" ht="12.75">
      <c r="A237" s="127" t="s">
        <v>8</v>
      </c>
      <c r="B237" s="128" t="s">
        <v>136</v>
      </c>
      <c r="C237" s="128"/>
      <c r="D237" s="128" t="s">
        <v>137</v>
      </c>
      <c r="E237" s="128" t="s">
        <v>138</v>
      </c>
      <c r="F237" s="128" t="s">
        <v>22</v>
      </c>
      <c r="G237" s="128" t="s">
        <v>139</v>
      </c>
      <c r="H237" s="296" t="s">
        <v>140</v>
      </c>
    </row>
    <row r="238" spans="1:8" ht="12.75">
      <c r="A238" s="130"/>
      <c r="B238" s="131"/>
      <c r="C238" s="131"/>
      <c r="D238" s="132" t="s">
        <v>265</v>
      </c>
      <c r="E238" s="132">
        <v>2012</v>
      </c>
      <c r="F238" s="132">
        <v>2012</v>
      </c>
      <c r="G238" s="132"/>
      <c r="H238" s="297" t="s">
        <v>142</v>
      </c>
    </row>
    <row r="239" spans="1:8" ht="12.75">
      <c r="A239" s="130">
        <v>1</v>
      </c>
      <c r="B239" s="132">
        <v>2</v>
      </c>
      <c r="C239" s="132">
        <v>3</v>
      </c>
      <c r="D239" s="132">
        <v>4</v>
      </c>
      <c r="E239" s="132">
        <v>5</v>
      </c>
      <c r="F239" s="132">
        <v>6</v>
      </c>
      <c r="G239" s="132">
        <v>7</v>
      </c>
      <c r="H239" s="298">
        <v>8</v>
      </c>
    </row>
    <row r="240" spans="1:8" ht="12.75">
      <c r="A240" s="135" t="s">
        <v>143</v>
      </c>
      <c r="B240" s="136" t="s">
        <v>144</v>
      </c>
      <c r="C240" s="136"/>
      <c r="D240" s="137">
        <f>SUM(D241:D242)</f>
        <v>19048.31</v>
      </c>
      <c r="E240" s="137">
        <f>SUM(E241:E242)</f>
        <v>127336.51999999999</v>
      </c>
      <c r="F240" s="137">
        <f>SUM(F241:F242)</f>
        <v>132862.18</v>
      </c>
      <c r="G240" s="137">
        <f>SUM(G241:G242)</f>
        <v>13522.649999999983</v>
      </c>
      <c r="H240" s="138" t="s">
        <v>0</v>
      </c>
    </row>
    <row r="241" spans="1:8" ht="12.75">
      <c r="A241" s="139"/>
      <c r="B241" s="140" t="s">
        <v>145</v>
      </c>
      <c r="C241" s="141"/>
      <c r="D241" s="142">
        <v>19048.31</v>
      </c>
      <c r="E241" s="142">
        <f>21.7*6756</f>
        <v>146605.19999999998</v>
      </c>
      <c r="F241" s="142">
        <f>131961.76-2491.72-1121.27-2476.03</f>
        <v>125872.74</v>
      </c>
      <c r="G241" s="142">
        <f>D241+E241+E242-F241-F242</f>
        <v>13522.649999999983</v>
      </c>
      <c r="H241" s="143">
        <f>F241/6756/12</f>
        <v>1.552604351687389</v>
      </c>
    </row>
    <row r="242" spans="1:8" ht="12.75">
      <c r="A242" s="144"/>
      <c r="B242" s="145" t="s">
        <v>266</v>
      </c>
      <c r="C242" s="146"/>
      <c r="D242" s="147"/>
      <c r="E242" s="147">
        <v>-19268.68</v>
      </c>
      <c r="F242" s="147">
        <v>6989.44</v>
      </c>
      <c r="G242" s="147"/>
      <c r="H242" s="148"/>
    </row>
    <row r="243" spans="1:8" ht="12.75">
      <c r="A243" s="144"/>
      <c r="B243" s="145"/>
      <c r="C243" s="146"/>
      <c r="D243" s="147"/>
      <c r="E243" s="147"/>
      <c r="F243" s="147"/>
      <c r="G243" s="147"/>
      <c r="H243" s="148"/>
    </row>
    <row r="244" spans="1:8" ht="12.75">
      <c r="A244" s="135" t="s">
        <v>147</v>
      </c>
      <c r="B244" s="136" t="s">
        <v>148</v>
      </c>
      <c r="C244" s="149"/>
      <c r="D244" s="150">
        <f>SUM(D245:D246)</f>
        <v>-4798.64</v>
      </c>
      <c r="E244" s="150">
        <f>SUM(E245:E246)</f>
        <v>82705.5</v>
      </c>
      <c r="F244" s="150">
        <f>SUM(F245:F246)</f>
        <v>84308.47</v>
      </c>
      <c r="G244" s="150">
        <f>SUM(G245:G246)</f>
        <v>-6401.609999999997</v>
      </c>
      <c r="H244" s="151"/>
    </row>
    <row r="245" spans="1:8" ht="12.75">
      <c r="A245" s="139" t="s">
        <v>0</v>
      </c>
      <c r="B245" s="140" t="s">
        <v>149</v>
      </c>
      <c r="C245" s="141"/>
      <c r="D245" s="142">
        <v>-503.8</v>
      </c>
      <c r="E245" s="142">
        <f>108*12*10</f>
        <v>12960</v>
      </c>
      <c r="F245" s="142">
        <v>12600</v>
      </c>
      <c r="G245" s="142">
        <f>D245+E245-F245</f>
        <v>-143.79999999999927</v>
      </c>
      <c r="H245" s="143"/>
    </row>
    <row r="246" spans="1:8" ht="12.75">
      <c r="A246" s="152"/>
      <c r="B246" s="153" t="s">
        <v>150</v>
      </c>
      <c r="C246" s="154">
        <v>4370</v>
      </c>
      <c r="D246" s="155">
        <v>-4294.84</v>
      </c>
      <c r="E246" s="155">
        <v>69745.5</v>
      </c>
      <c r="F246" s="155">
        <v>71708.47</v>
      </c>
      <c r="G246" s="142">
        <f>D246+E246-F246</f>
        <v>-6257.809999999998</v>
      </c>
      <c r="H246" s="156">
        <f>F246/4370</f>
        <v>16.409260869565216</v>
      </c>
    </row>
    <row r="247" spans="1:8" ht="12.75">
      <c r="A247" s="152"/>
      <c r="B247" s="153"/>
      <c r="C247" s="154"/>
      <c r="D247" s="155"/>
      <c r="E247" s="155"/>
      <c r="F247" s="155"/>
      <c r="G247" s="142"/>
      <c r="H247" s="156"/>
    </row>
    <row r="248" spans="1:8" ht="12.75">
      <c r="A248" s="135" t="s">
        <v>151</v>
      </c>
      <c r="B248" s="136" t="s">
        <v>152</v>
      </c>
      <c r="C248" s="149"/>
      <c r="D248" s="150">
        <f>SUM(D249:D250)</f>
        <v>5806.3</v>
      </c>
      <c r="E248" s="150">
        <f>SUM(E249:E250)</f>
        <v>118598.18000000002</v>
      </c>
      <c r="F248" s="150">
        <f>SUM(F249:F250)</f>
        <v>122029.03</v>
      </c>
      <c r="G248" s="150">
        <f>SUM(G249:G250)</f>
        <v>2375.45000000003</v>
      </c>
      <c r="H248" s="151"/>
    </row>
    <row r="249" spans="1:8" ht="12.75">
      <c r="A249" s="157"/>
      <c r="B249" s="145" t="s">
        <v>153</v>
      </c>
      <c r="C249" s="145"/>
      <c r="D249" s="147">
        <v>5806.3</v>
      </c>
      <c r="E249" s="147">
        <f>3901.4*2.6*12</f>
        <v>121723.68000000002</v>
      </c>
      <c r="F249" s="147">
        <f>120141.14-2076.27</f>
        <v>118064.87</v>
      </c>
      <c r="G249" s="142">
        <f>D249+E249+E250-F249-F250</f>
        <v>2375.45000000003</v>
      </c>
      <c r="H249" s="143">
        <f>F249/3901.4/12</f>
        <v>2.5218483535824743</v>
      </c>
    </row>
    <row r="250" spans="1:8" ht="12.75">
      <c r="A250" s="157"/>
      <c r="B250" s="145" t="s">
        <v>266</v>
      </c>
      <c r="C250" s="158"/>
      <c r="D250" s="159"/>
      <c r="E250" s="159">
        <v>-3125.5</v>
      </c>
      <c r="F250" s="159">
        <v>3964.16</v>
      </c>
      <c r="G250" s="159"/>
      <c r="H250" s="160"/>
    </row>
    <row r="251" spans="1:8" ht="12.75">
      <c r="A251" s="157"/>
      <c r="B251" s="145"/>
      <c r="C251" s="158"/>
      <c r="D251" s="159"/>
      <c r="E251" s="159"/>
      <c r="F251" s="159"/>
      <c r="G251" s="159"/>
      <c r="H251" s="160"/>
    </row>
    <row r="252" spans="1:8" ht="12.75">
      <c r="A252" s="135">
        <v>1</v>
      </c>
      <c r="B252" s="136" t="s">
        <v>267</v>
      </c>
      <c r="C252" s="161"/>
      <c r="D252" s="150">
        <f>D240+D244+D248</f>
        <v>20055.97</v>
      </c>
      <c r="E252" s="150">
        <f>E240+E244+E248</f>
        <v>328640.2</v>
      </c>
      <c r="F252" s="150">
        <f>F240+F244+F248</f>
        <v>339199.68</v>
      </c>
      <c r="G252" s="150">
        <f>G240+G244+G248</f>
        <v>9496.490000000016</v>
      </c>
      <c r="H252" s="151"/>
    </row>
    <row r="253" spans="1:8" ht="12.75">
      <c r="A253" s="135"/>
      <c r="B253" s="136"/>
      <c r="C253" s="161"/>
      <c r="D253" s="150"/>
      <c r="E253" s="150"/>
      <c r="F253" s="150"/>
      <c r="G253" s="150"/>
      <c r="H253" s="151"/>
    </row>
    <row r="254" spans="1:8" ht="12.75">
      <c r="A254" s="135">
        <v>2</v>
      </c>
      <c r="B254" s="136" t="s">
        <v>155</v>
      </c>
      <c r="C254" s="161"/>
      <c r="D254" s="150">
        <v>-30028.73</v>
      </c>
      <c r="E254" s="150">
        <v>9661</v>
      </c>
      <c r="F254" s="150">
        <v>17210.79</v>
      </c>
      <c r="G254" s="162">
        <f>D254+E254-F254</f>
        <v>-37578.520000000004</v>
      </c>
      <c r="H254" s="151"/>
    </row>
    <row r="255" spans="1:8" ht="12.75">
      <c r="A255" s="163"/>
      <c r="B255" s="131"/>
      <c r="C255" s="164"/>
      <c r="D255" s="165"/>
      <c r="E255" s="165"/>
      <c r="F255" s="165"/>
      <c r="G255" s="165"/>
      <c r="H255" s="166"/>
    </row>
    <row r="256" spans="1:8" ht="12.75">
      <c r="A256" s="167">
        <v>3</v>
      </c>
      <c r="B256" s="168" t="s">
        <v>156</v>
      </c>
      <c r="C256" s="169"/>
      <c r="D256" s="49">
        <f>SUM(D257:D259)</f>
        <v>-11014.18</v>
      </c>
      <c r="E256" s="49">
        <f>SUM(E257:E259)</f>
        <v>130056.15000000001</v>
      </c>
      <c r="F256" s="49">
        <f>SUM(F257:F259)</f>
        <v>135257.97</v>
      </c>
      <c r="G256" s="49">
        <f>SUM(G257:G259)</f>
        <v>-16215.999999999993</v>
      </c>
      <c r="H256" s="55">
        <v>7.85</v>
      </c>
    </row>
    <row r="257" spans="1:8" ht="12.75">
      <c r="A257" s="170"/>
      <c r="B257" s="171" t="s">
        <v>268</v>
      </c>
      <c r="C257" s="172"/>
      <c r="D257" s="173">
        <v>-9514.47</v>
      </c>
      <c r="E257" s="173">
        <v>80335.71</v>
      </c>
      <c r="F257" s="173">
        <f>89677.05-639.6-3300</f>
        <v>85737.45</v>
      </c>
      <c r="G257" s="173">
        <f>D257+E257-F257</f>
        <v>-14916.209999999992</v>
      </c>
      <c r="H257" s="174"/>
    </row>
    <row r="258" spans="1:8" ht="12.75">
      <c r="A258" s="144"/>
      <c r="B258" s="175" t="s">
        <v>269</v>
      </c>
      <c r="C258" s="176"/>
      <c r="D258" s="147">
        <v>254.68</v>
      </c>
      <c r="E258" s="147">
        <v>40369.6</v>
      </c>
      <c r="F258" s="147">
        <v>40067.28</v>
      </c>
      <c r="G258" s="142">
        <f>D258+E258-F258</f>
        <v>557</v>
      </c>
      <c r="H258" s="177"/>
    </row>
    <row r="259" spans="1:8" ht="12.75">
      <c r="A259" s="144"/>
      <c r="B259" s="145" t="s">
        <v>159</v>
      </c>
      <c r="C259" s="176"/>
      <c r="D259" s="147">
        <v>-1754.39</v>
      </c>
      <c r="E259" s="147">
        <v>9350.84</v>
      </c>
      <c r="F259" s="147">
        <f>9698.52-245.28</f>
        <v>9453.24</v>
      </c>
      <c r="G259" s="142">
        <f>D259+E259-F259</f>
        <v>-1856.79</v>
      </c>
      <c r="H259" s="177"/>
    </row>
    <row r="260" spans="1:8" ht="12.75">
      <c r="A260" s="178"/>
      <c r="B260" s="179"/>
      <c r="C260" s="180"/>
      <c r="D260" s="181"/>
      <c r="E260" s="181"/>
      <c r="F260" s="181"/>
      <c r="G260" s="181"/>
      <c r="H260" s="182"/>
    </row>
    <row r="261" spans="1:8" ht="12.75">
      <c r="A261" s="135">
        <v>4</v>
      </c>
      <c r="B261" s="136" t="s">
        <v>160</v>
      </c>
      <c r="C261" s="161"/>
      <c r="D261" s="150">
        <f>SUM(D262:D264)</f>
        <v>-555</v>
      </c>
      <c r="E261" s="150">
        <f>SUM(E262:E264)</f>
        <v>57600</v>
      </c>
      <c r="F261" s="150">
        <f>SUM(F262:F264)</f>
        <v>56709</v>
      </c>
      <c r="G261" s="150">
        <f>SUM(G262:G264)</f>
        <v>336</v>
      </c>
      <c r="H261" s="151">
        <v>9</v>
      </c>
    </row>
    <row r="262" spans="1:8" ht="12.75">
      <c r="A262" s="167"/>
      <c r="B262" s="183" t="s">
        <v>161</v>
      </c>
      <c r="C262" s="172"/>
      <c r="D262" s="173">
        <v>-270</v>
      </c>
      <c r="E262" s="173">
        <v>36999</v>
      </c>
      <c r="F262" s="173">
        <v>36450</v>
      </c>
      <c r="G262" s="173">
        <f>D262+E262-F262</f>
        <v>279</v>
      </c>
      <c r="H262" s="184"/>
    </row>
    <row r="263" spans="1:8" ht="12.75">
      <c r="A263" s="157"/>
      <c r="B263" s="175" t="s">
        <v>162</v>
      </c>
      <c r="C263" s="176"/>
      <c r="D263" s="147">
        <v>-429</v>
      </c>
      <c r="E263" s="147">
        <v>17703</v>
      </c>
      <c r="F263" s="147">
        <v>17343</v>
      </c>
      <c r="G263" s="142">
        <f>D263+E263-F263</f>
        <v>-69</v>
      </c>
      <c r="H263" s="185"/>
    </row>
    <row r="264" spans="1:8" ht="12.75">
      <c r="A264" s="157"/>
      <c r="B264" s="145" t="s">
        <v>163</v>
      </c>
      <c r="C264" s="176"/>
      <c r="D264" s="147">
        <v>144</v>
      </c>
      <c r="E264" s="147">
        <v>2898</v>
      </c>
      <c r="F264" s="147">
        <v>2916</v>
      </c>
      <c r="G264" s="142">
        <f>D264+E264-F264</f>
        <v>126</v>
      </c>
      <c r="H264" s="185"/>
    </row>
    <row r="265" spans="1:8" ht="12.75">
      <c r="A265" s="167"/>
      <c r="B265" s="179"/>
      <c r="C265" s="180"/>
      <c r="D265" s="181"/>
      <c r="E265" s="181"/>
      <c r="F265" s="181"/>
      <c r="G265" s="181"/>
      <c r="H265" s="186"/>
    </row>
    <row r="266" spans="1:8" ht="12.75">
      <c r="A266" s="135">
        <v>5</v>
      </c>
      <c r="B266" s="136" t="s">
        <v>164</v>
      </c>
      <c r="C266" s="161"/>
      <c r="D266" s="150">
        <f>SUM(D267:D269)</f>
        <v>1151.6100000000001</v>
      </c>
      <c r="E266" s="150">
        <f>SUM(E267:E269)</f>
        <v>12881.6</v>
      </c>
      <c r="F266" s="150">
        <f>SUM(F267:F269)</f>
        <v>13559.35</v>
      </c>
      <c r="G266" s="150">
        <f>SUM(G267:G269)</f>
        <v>473.8600000000001</v>
      </c>
      <c r="H266" s="151"/>
    </row>
    <row r="267" spans="1:8" ht="12.75">
      <c r="A267" s="170"/>
      <c r="B267" s="183" t="s">
        <v>161</v>
      </c>
      <c r="C267" s="187"/>
      <c r="D267" s="173">
        <v>301.89</v>
      </c>
      <c r="E267" s="173">
        <v>3848</v>
      </c>
      <c r="F267" s="173">
        <v>3776.28</v>
      </c>
      <c r="G267" s="173">
        <f>D267+E267-F267</f>
        <v>373.6100000000001</v>
      </c>
      <c r="H267" s="188">
        <f>F267/49/12</f>
        <v>6.422244897959184</v>
      </c>
    </row>
    <row r="268" spans="1:8" ht="12.75">
      <c r="A268" s="144"/>
      <c r="B268" s="175" t="s">
        <v>165</v>
      </c>
      <c r="C268" s="189"/>
      <c r="D268" s="147">
        <v>233.37</v>
      </c>
      <c r="E268" s="147">
        <v>4233.6</v>
      </c>
      <c r="F268" s="147">
        <v>5028.68</v>
      </c>
      <c r="G268" s="142">
        <f>D268+E268-F268</f>
        <v>-561.71</v>
      </c>
      <c r="H268" s="160">
        <f>F268/49/12</f>
        <v>8.5521768707483</v>
      </c>
    </row>
    <row r="269" spans="1:8" ht="12.75">
      <c r="A269" s="144"/>
      <c r="B269" s="175" t="s">
        <v>166</v>
      </c>
      <c r="C269" s="189"/>
      <c r="D269" s="147">
        <v>616.35</v>
      </c>
      <c r="E269" s="147">
        <v>4800</v>
      </c>
      <c r="F269" s="147">
        <v>4754.39</v>
      </c>
      <c r="G269" s="142">
        <f>D269+E269-F269</f>
        <v>661.96</v>
      </c>
      <c r="H269" s="160">
        <f>F269/50/12</f>
        <v>7.923983333333333</v>
      </c>
    </row>
    <row r="270" spans="1:8" ht="12.75">
      <c r="A270" s="144"/>
      <c r="B270" s="175"/>
      <c r="C270" s="189"/>
      <c r="D270" s="147"/>
      <c r="E270" s="147"/>
      <c r="F270" s="147"/>
      <c r="G270" s="142"/>
      <c r="H270" s="160"/>
    </row>
    <row r="271" spans="1:8" ht="12.75">
      <c r="A271" s="135">
        <v>6</v>
      </c>
      <c r="B271" s="136" t="s">
        <v>167</v>
      </c>
      <c r="C271" s="161" t="s">
        <v>0</v>
      </c>
      <c r="D271" s="150">
        <v>0</v>
      </c>
      <c r="E271" s="150">
        <v>19007.04</v>
      </c>
      <c r="F271" s="150">
        <v>19093.35</v>
      </c>
      <c r="G271" s="162">
        <f>D271+E271-F271</f>
        <v>-86.30999999999767</v>
      </c>
      <c r="H271" s="151"/>
    </row>
    <row r="272" spans="1:8" ht="12.75">
      <c r="A272" s="190"/>
      <c r="B272" s="191" t="s">
        <v>0</v>
      </c>
      <c r="C272" s="192"/>
      <c r="D272" s="193"/>
      <c r="E272" s="193"/>
      <c r="F272" s="193"/>
      <c r="G272" s="193"/>
      <c r="H272" s="194"/>
    </row>
    <row r="273" spans="1:8" ht="12.75">
      <c r="A273" s="195">
        <v>6</v>
      </c>
      <c r="B273" s="196" t="s">
        <v>168</v>
      </c>
      <c r="C273" s="197"/>
      <c r="D273" s="198">
        <f>D252+D254+D256+D261+D266+D271</f>
        <v>-20390.329999999998</v>
      </c>
      <c r="E273" s="198">
        <f>E252+E254+E256+E261+E266+E271</f>
        <v>557845.9900000001</v>
      </c>
      <c r="F273" s="198">
        <f>F252+F254+F256+F261+F266+F271</f>
        <v>581030.1399999999</v>
      </c>
      <c r="G273" s="198">
        <f>G252+G254+G256+G261+G266+G271</f>
        <v>-43574.47999999998</v>
      </c>
      <c r="H273" s="199"/>
    </row>
    <row r="274" spans="1:8" ht="12.75">
      <c r="A274" s="200"/>
      <c r="B274" s="201"/>
      <c r="C274" s="197"/>
      <c r="D274" s="198"/>
      <c r="E274" s="198"/>
      <c r="F274" s="198"/>
      <c r="G274" s="198">
        <f>D273+E273-F273</f>
        <v>-43574.47999999975</v>
      </c>
      <c r="H274" s="199"/>
    </row>
    <row r="275" spans="1:8" ht="12.75">
      <c r="A275" s="299"/>
      <c r="B275" s="300"/>
      <c r="C275" s="301"/>
      <c r="D275" s="302"/>
      <c r="E275" s="302"/>
      <c r="F275" s="302"/>
      <c r="G275" s="302"/>
      <c r="H275" s="303"/>
    </row>
    <row r="276" spans="1:8" ht="12.75">
      <c r="A276" s="304"/>
      <c r="B276" s="305"/>
      <c r="C276" s="306"/>
      <c r="D276" s="307"/>
      <c r="E276" s="307"/>
      <c r="F276" s="307"/>
      <c r="G276" s="307"/>
      <c r="H276" s="308"/>
    </row>
    <row r="277" spans="1:8" ht="12.75">
      <c r="A277" s="200">
        <v>7</v>
      </c>
      <c r="B277" s="201" t="s">
        <v>169</v>
      </c>
      <c r="C277" s="197"/>
      <c r="D277" s="198">
        <f>SUM(D278:D284)</f>
        <v>143.49</v>
      </c>
      <c r="E277" s="198">
        <f>SUM(E278:E284)</f>
        <v>187660.32</v>
      </c>
      <c r="F277" s="198">
        <f>SUM(F278:F284)</f>
        <v>188354.65000000002</v>
      </c>
      <c r="G277" s="198">
        <f>SUM(G278:G284)</f>
        <v>-550.8400000000033</v>
      </c>
      <c r="H277" s="309"/>
    </row>
    <row r="278" spans="1:8" ht="12.75">
      <c r="A278" s="310"/>
      <c r="B278" s="311" t="s">
        <v>270</v>
      </c>
      <c r="C278" s="312">
        <v>6756</v>
      </c>
      <c r="D278" s="205">
        <v>983.81</v>
      </c>
      <c r="E278" s="205">
        <v>98442.02</v>
      </c>
      <c r="F278" s="205">
        <f>95491.03+3385.05-0.01</f>
        <v>98876.07</v>
      </c>
      <c r="G278" s="205">
        <f>D278+E278-F278</f>
        <v>549.7599999999948</v>
      </c>
      <c r="H278" s="313"/>
    </row>
    <row r="279" spans="1:8" ht="12.75">
      <c r="A279" s="157"/>
      <c r="B279" s="145" t="s">
        <v>271</v>
      </c>
      <c r="C279" s="314"/>
      <c r="D279" s="147">
        <v>232.58</v>
      </c>
      <c r="E279" s="147">
        <v>15058.78</v>
      </c>
      <c r="F279" s="147">
        <f>14540.95+554.55-0.01</f>
        <v>15095.49</v>
      </c>
      <c r="G279" s="147">
        <f>D279+E279-F279</f>
        <v>195.8700000000008</v>
      </c>
      <c r="H279" s="160"/>
    </row>
    <row r="280" spans="1:8" ht="12.75">
      <c r="A280" s="157"/>
      <c r="B280" s="145"/>
      <c r="C280" s="314"/>
      <c r="D280" s="147"/>
      <c r="E280" s="147"/>
      <c r="F280" s="147"/>
      <c r="G280" s="147"/>
      <c r="H280" s="160"/>
    </row>
    <row r="281" spans="1:8" ht="12.75">
      <c r="A281" s="157"/>
      <c r="B281" s="145" t="s">
        <v>272</v>
      </c>
      <c r="C281" s="314">
        <v>3278.6</v>
      </c>
      <c r="D281" s="147">
        <v>-1365.78</v>
      </c>
      <c r="E281" s="147">
        <v>62949.12</v>
      </c>
      <c r="F281" s="147">
        <v>62559.26</v>
      </c>
      <c r="G281" s="147">
        <f>D281+E281+E282-F281</f>
        <v>-975.9199999999983</v>
      </c>
      <c r="H281" s="160"/>
    </row>
    <row r="282" spans="1:8" ht="12.75">
      <c r="A282" s="157"/>
      <c r="B282" s="145"/>
      <c r="C282" s="314"/>
      <c r="D282" s="147"/>
      <c r="E282" s="147"/>
      <c r="F282" s="147"/>
      <c r="G282" s="147"/>
      <c r="H282" s="160"/>
    </row>
    <row r="283" spans="1:8" ht="12.75">
      <c r="A283" s="157"/>
      <c r="B283" s="315" t="s">
        <v>273</v>
      </c>
      <c r="C283" s="314">
        <v>622.8</v>
      </c>
      <c r="D283" s="147">
        <v>178.94</v>
      </c>
      <c r="E283" s="147">
        <v>7473.6</v>
      </c>
      <c r="F283" s="147">
        <f>7719.03+163.52+0.02</f>
        <v>7882.570000000001</v>
      </c>
      <c r="G283" s="147">
        <f>D283+E283-F283</f>
        <v>-230.03000000000065</v>
      </c>
      <c r="H283" s="160"/>
    </row>
    <row r="284" spans="1:8" ht="12.75">
      <c r="A284" s="157"/>
      <c r="B284" s="175" t="s">
        <v>271</v>
      </c>
      <c r="C284" s="316"/>
      <c r="D284" s="147">
        <v>113.94</v>
      </c>
      <c r="E284" s="147">
        <v>3736.8</v>
      </c>
      <c r="F284" s="147">
        <f>3859.52+81.76-0.02</f>
        <v>3941.26</v>
      </c>
      <c r="G284" s="147">
        <f>D284+E284-F284</f>
        <v>-90.51999999999998</v>
      </c>
      <c r="H284" s="160"/>
    </row>
    <row r="285" spans="1:8" ht="12.75">
      <c r="A285" s="270"/>
      <c r="B285" s="317"/>
      <c r="C285" s="318"/>
      <c r="D285" s="319"/>
      <c r="E285" s="319"/>
      <c r="F285" s="319"/>
      <c r="G285" s="142"/>
      <c r="H285" s="55"/>
    </row>
    <row r="286" spans="1:8" ht="12.75">
      <c r="A286" s="195">
        <v>8</v>
      </c>
      <c r="B286" s="217" t="s">
        <v>178</v>
      </c>
      <c r="C286" s="218"/>
      <c r="D286" s="198">
        <f>D287+D304+D315</f>
        <v>172883.05</v>
      </c>
      <c r="E286" s="198">
        <f>E287+E304+E315+E316</f>
        <v>103447.48</v>
      </c>
      <c r="F286" s="198">
        <f>F287+F304+F315</f>
        <v>210634.26000000004</v>
      </c>
      <c r="G286" s="198">
        <f>G287+G304+G315</f>
        <v>65696.26999999997</v>
      </c>
      <c r="H286" s="219"/>
    </row>
    <row r="287" spans="1:8" ht="12.75">
      <c r="A287" s="220">
        <v>1</v>
      </c>
      <c r="B287" s="221" t="s">
        <v>274</v>
      </c>
      <c r="C287" s="222"/>
      <c r="D287" s="223">
        <v>176489.33</v>
      </c>
      <c r="E287" s="223">
        <f>SUM(E288:E289)</f>
        <v>74516.28</v>
      </c>
      <c r="F287" s="223">
        <f>SUM(F289:F299)</f>
        <v>190894.67</v>
      </c>
      <c r="G287" s="150">
        <f>D287+E287-F287</f>
        <v>60110.93999999997</v>
      </c>
      <c r="H287" s="224"/>
    </row>
    <row r="288" spans="1:8" ht="12.75">
      <c r="A288" s="225"/>
      <c r="B288" s="226" t="s">
        <v>275</v>
      </c>
      <c r="C288" s="227"/>
      <c r="D288" s="228"/>
      <c r="E288" s="228">
        <f>6756*0.9*12</f>
        <v>72964.8</v>
      </c>
      <c r="F288" s="228"/>
      <c r="G288" s="228"/>
      <c r="H288" s="229"/>
    </row>
    <row r="289" spans="1:8" ht="12.75">
      <c r="A289" s="230"/>
      <c r="B289" s="231" t="s">
        <v>276</v>
      </c>
      <c r="C289" s="158"/>
      <c r="D289" s="232"/>
      <c r="E289" s="232">
        <v>1551.48</v>
      </c>
      <c r="F289" s="147"/>
      <c r="G289" s="233" t="s">
        <v>0</v>
      </c>
      <c r="H289" s="234"/>
    </row>
    <row r="290" spans="1:8" ht="12.75">
      <c r="A290" s="235"/>
      <c r="B290" s="236" t="s">
        <v>277</v>
      </c>
      <c r="C290" s="158"/>
      <c r="D290" s="232"/>
      <c r="E290" s="237"/>
      <c r="F290" s="147">
        <v>78840</v>
      </c>
      <c r="G290" s="238"/>
      <c r="H290" s="234"/>
    </row>
    <row r="291" spans="1:8" ht="12.75">
      <c r="A291" s="235"/>
      <c r="B291" s="236" t="s">
        <v>278</v>
      </c>
      <c r="C291" s="158"/>
      <c r="D291" s="232"/>
      <c r="E291" s="237"/>
      <c r="F291" s="147">
        <f>54000+31000</f>
        <v>85000</v>
      </c>
      <c r="G291" s="238"/>
      <c r="H291" s="234"/>
    </row>
    <row r="292" spans="1:8" ht="12.75">
      <c r="A292" s="235"/>
      <c r="B292" s="236" t="s">
        <v>279</v>
      </c>
      <c r="C292" s="158"/>
      <c r="D292" s="232"/>
      <c r="E292" s="237"/>
      <c r="F292" s="147">
        <f>250+4860</f>
        <v>5110</v>
      </c>
      <c r="G292" s="238"/>
      <c r="H292" s="234"/>
    </row>
    <row r="293" spans="1:8" ht="12.75">
      <c r="A293" s="230"/>
      <c r="B293" s="231" t="s">
        <v>198</v>
      </c>
      <c r="C293" s="158"/>
      <c r="D293" s="232"/>
      <c r="E293" s="232"/>
      <c r="F293" s="147">
        <f>630+375.64+319.09+630+71.59+630+630+16.83+680+990+470+1150+354.23+650+470</f>
        <v>8067.379999999999</v>
      </c>
      <c r="G293" s="233"/>
      <c r="H293" s="234"/>
    </row>
    <row r="294" spans="1:8" ht="12.75">
      <c r="A294" s="239"/>
      <c r="B294" s="240" t="s">
        <v>280</v>
      </c>
      <c r="C294" s="241"/>
      <c r="D294" s="242"/>
      <c r="E294" s="242"/>
      <c r="F294" s="155">
        <f>704.81-83.45+373.73+83.45+117.23+104.09+186.85</f>
        <v>1486.7099999999998</v>
      </c>
      <c r="G294" s="238"/>
      <c r="H294" s="243"/>
    </row>
    <row r="295" spans="1:8" ht="12.75">
      <c r="A295" s="239"/>
      <c r="B295" s="240" t="s">
        <v>281</v>
      </c>
      <c r="C295" s="241"/>
      <c r="D295" s="242"/>
      <c r="E295" s="242"/>
      <c r="F295" s="155">
        <f>1000</f>
        <v>1000</v>
      </c>
      <c r="G295" s="238"/>
      <c r="H295" s="243"/>
    </row>
    <row r="296" spans="1:8" ht="12.75">
      <c r="A296" s="239"/>
      <c r="B296" s="240" t="s">
        <v>282</v>
      </c>
      <c r="C296" s="241"/>
      <c r="D296" s="242"/>
      <c r="E296" s="242"/>
      <c r="F296" s="155">
        <f>511.93+666.76+49.2+72.19+324.72+33.28+165.31+2326.55+89+114.59+1145</f>
        <v>5498.530000000001</v>
      </c>
      <c r="G296" s="238"/>
      <c r="H296" s="243"/>
    </row>
    <row r="297" spans="1:8" ht="12.75">
      <c r="A297" s="239"/>
      <c r="B297" s="240" t="s">
        <v>188</v>
      </c>
      <c r="C297" s="241"/>
      <c r="D297" s="242"/>
      <c r="E297" s="242"/>
      <c r="F297" s="155">
        <f>250+19.29+11.49+35.14+691.88+25.75+1252+1160+540</f>
        <v>3985.55</v>
      </c>
      <c r="G297" s="238"/>
      <c r="H297" s="243"/>
    </row>
    <row r="298" spans="1:8" ht="12.75">
      <c r="A298" s="239"/>
      <c r="B298" s="240" t="s">
        <v>283</v>
      </c>
      <c r="C298" s="241"/>
      <c r="D298" s="242"/>
      <c r="E298" s="242"/>
      <c r="F298" s="155">
        <v>200.5</v>
      </c>
      <c r="G298" s="238"/>
      <c r="H298" s="243"/>
    </row>
    <row r="299" spans="1:8" ht="12.75">
      <c r="A299" s="239"/>
      <c r="B299" s="240" t="s">
        <v>284</v>
      </c>
      <c r="C299" s="241"/>
      <c r="D299" s="242"/>
      <c r="E299" s="242"/>
      <c r="F299" s="155">
        <f>1706</f>
        <v>1706</v>
      </c>
      <c r="G299" s="238"/>
      <c r="H299" s="243"/>
    </row>
    <row r="300" spans="1:8" ht="12.75">
      <c r="A300" s="239"/>
      <c r="B300" s="240"/>
      <c r="C300" s="241"/>
      <c r="D300" s="242"/>
      <c r="E300" s="242"/>
      <c r="F300" s="155"/>
      <c r="G300" s="238"/>
      <c r="H300" s="243"/>
    </row>
    <row r="301" spans="1:8" ht="12.75">
      <c r="A301" s="320"/>
      <c r="B301" s="321"/>
      <c r="C301" s="179"/>
      <c r="D301" s="322"/>
      <c r="E301" s="322"/>
      <c r="F301" s="322"/>
      <c r="G301" s="322"/>
      <c r="H301" s="186"/>
    </row>
    <row r="302" spans="1:8" ht="12.75">
      <c r="A302" s="127" t="s">
        <v>8</v>
      </c>
      <c r="B302" s="128" t="s">
        <v>136</v>
      </c>
      <c r="C302" s="128"/>
      <c r="D302" s="128" t="s">
        <v>137</v>
      </c>
      <c r="E302" s="128" t="s">
        <v>138</v>
      </c>
      <c r="F302" s="128" t="s">
        <v>22</v>
      </c>
      <c r="G302" s="128" t="s">
        <v>139</v>
      </c>
      <c r="H302" s="296" t="s">
        <v>140</v>
      </c>
    </row>
    <row r="303" spans="1:8" ht="12.75">
      <c r="A303" s="130"/>
      <c r="B303" s="131"/>
      <c r="C303" s="131"/>
      <c r="D303" s="132" t="s">
        <v>265</v>
      </c>
      <c r="E303" s="132">
        <v>2012</v>
      </c>
      <c r="F303" s="132">
        <v>2012</v>
      </c>
      <c r="G303" s="132"/>
      <c r="H303" s="297" t="s">
        <v>142</v>
      </c>
    </row>
    <row r="304" spans="1:8" ht="12.75">
      <c r="A304" s="244">
        <v>2</v>
      </c>
      <c r="B304" s="136" t="s">
        <v>285</v>
      </c>
      <c r="C304" s="136"/>
      <c r="D304" s="150">
        <v>-4520.92</v>
      </c>
      <c r="E304" s="150">
        <f>SUM(E305:E313)</f>
        <v>25664.62</v>
      </c>
      <c r="F304" s="150">
        <f>SUM(F305:F313)</f>
        <v>17345.95</v>
      </c>
      <c r="G304" s="150">
        <f>D304+E304-F304</f>
        <v>3797.7499999999964</v>
      </c>
      <c r="H304" s="151"/>
    </row>
    <row r="305" spans="1:8" ht="12.75">
      <c r="A305" s="245"/>
      <c r="B305" s="145" t="s">
        <v>286</v>
      </c>
      <c r="C305" s="158"/>
      <c r="D305" s="233"/>
      <c r="E305" s="228">
        <f>3278.6*0.5*12</f>
        <v>19671.6</v>
      </c>
      <c r="F305" s="147"/>
      <c r="G305" s="233"/>
      <c r="H305" s="160"/>
    </row>
    <row r="306" spans="1:8" ht="12.75">
      <c r="A306" s="245"/>
      <c r="B306" s="145" t="s">
        <v>287</v>
      </c>
      <c r="C306" s="158"/>
      <c r="D306" s="233"/>
      <c r="E306" s="233">
        <v>797.12</v>
      </c>
      <c r="F306" s="147">
        <f>1310.32</f>
        <v>1310.32</v>
      </c>
      <c r="G306" s="233"/>
      <c r="H306" s="160"/>
    </row>
    <row r="307" spans="1:8" ht="12.75">
      <c r="A307" s="245"/>
      <c r="B307" s="145" t="s">
        <v>196</v>
      </c>
      <c r="C307" s="158"/>
      <c r="D307" s="233"/>
      <c r="E307" s="233"/>
      <c r="F307" s="147">
        <f>626.4+550.8+3444+1722+1208.3+194.4</f>
        <v>7745.9</v>
      </c>
      <c r="G307" s="233"/>
      <c r="H307" s="160"/>
    </row>
    <row r="308" spans="1:8" ht="12.75">
      <c r="A308" s="246"/>
      <c r="B308" s="140" t="s">
        <v>198</v>
      </c>
      <c r="C308" s="247"/>
      <c r="D308" s="248"/>
      <c r="E308" s="248"/>
      <c r="F308" s="142">
        <f>470+111.4+470+470+470+149.45+500+750+61.44+1230+460+350</f>
        <v>5492.29</v>
      </c>
      <c r="G308" s="248"/>
      <c r="H308" s="249"/>
    </row>
    <row r="309" spans="1:8" ht="12.75">
      <c r="A309" s="246"/>
      <c r="B309" s="140" t="s">
        <v>288</v>
      </c>
      <c r="C309" s="247"/>
      <c r="D309" s="248"/>
      <c r="E309" s="248"/>
      <c r="F309" s="142">
        <f>128.51+235+175+217+21.99+48.02+150+4.28+105.78</f>
        <v>1085.58</v>
      </c>
      <c r="G309" s="248"/>
      <c r="H309" s="249"/>
    </row>
    <row r="310" spans="1:8" ht="12.75">
      <c r="A310" s="246"/>
      <c r="B310" s="140" t="s">
        <v>281</v>
      </c>
      <c r="C310" s="247"/>
      <c r="D310" s="248"/>
      <c r="E310" s="248"/>
      <c r="F310" s="142">
        <v>600</v>
      </c>
      <c r="G310" s="248"/>
      <c r="H310" s="249"/>
    </row>
    <row r="311" spans="1:8" ht="12.75">
      <c r="A311" s="246"/>
      <c r="B311" s="140" t="s">
        <v>289</v>
      </c>
      <c r="C311" s="247"/>
      <c r="D311" s="248"/>
      <c r="E311" s="248"/>
      <c r="F311" s="142">
        <f>139.78</f>
        <v>139.78</v>
      </c>
      <c r="G311" s="248"/>
      <c r="H311" s="249"/>
    </row>
    <row r="312" spans="1:8" ht="12.75">
      <c r="A312" s="246"/>
      <c r="B312" s="140" t="s">
        <v>290</v>
      </c>
      <c r="C312" s="247"/>
      <c r="D312" s="248"/>
      <c r="E312" s="248"/>
      <c r="F312" s="142">
        <f>902.08+70</f>
        <v>972.08</v>
      </c>
      <c r="G312" s="248"/>
      <c r="H312" s="249"/>
    </row>
    <row r="313" spans="1:8" ht="12.75">
      <c r="A313" s="246"/>
      <c r="B313" s="140" t="s">
        <v>291</v>
      </c>
      <c r="C313" s="247"/>
      <c r="D313" s="248">
        <v>-5194.52</v>
      </c>
      <c r="E313" s="248">
        <v>5195.9</v>
      </c>
      <c r="F313" s="142">
        <v>0</v>
      </c>
      <c r="G313" s="248"/>
      <c r="H313" s="249"/>
    </row>
    <row r="314" spans="1:8" ht="12.75">
      <c r="A314" s="250"/>
      <c r="B314" s="251"/>
      <c r="C314" s="168"/>
      <c r="D314" s="49"/>
      <c r="E314" s="49"/>
      <c r="F314" s="252"/>
      <c r="G314" s="49"/>
      <c r="H314" s="55"/>
    </row>
    <row r="315" spans="1:8" ht="12.75">
      <c r="A315" s="244">
        <v>3</v>
      </c>
      <c r="B315" s="136" t="s">
        <v>292</v>
      </c>
      <c r="C315" s="136"/>
      <c r="D315" s="150">
        <v>914.64</v>
      </c>
      <c r="E315" s="150">
        <f>622.8*0.3*12</f>
        <v>2242.08</v>
      </c>
      <c r="F315" s="150">
        <f>SUM(F316:F320)</f>
        <v>2393.64</v>
      </c>
      <c r="G315" s="150">
        <f>D315+E315+E316-F315</f>
        <v>1787.5799999999995</v>
      </c>
      <c r="H315" s="151"/>
    </row>
    <row r="316" spans="1:8" ht="12.75">
      <c r="A316" s="225"/>
      <c r="B316" s="227" t="s">
        <v>276</v>
      </c>
      <c r="C316" s="227"/>
      <c r="D316" s="228"/>
      <c r="E316" s="228">
        <v>1024.5</v>
      </c>
      <c r="F316" s="228"/>
      <c r="G316" s="228"/>
      <c r="H316" s="188"/>
    </row>
    <row r="317" spans="1:8" ht="12.75">
      <c r="A317" s="230"/>
      <c r="B317" s="158" t="s">
        <v>293</v>
      </c>
      <c r="C317" s="158"/>
      <c r="D317" s="233"/>
      <c r="E317" s="233"/>
      <c r="F317" s="233">
        <v>1023.84</v>
      </c>
      <c r="G317" s="233"/>
      <c r="H317" s="160"/>
    </row>
    <row r="318" spans="1:8" ht="12.75">
      <c r="A318" s="230"/>
      <c r="B318" s="158" t="s">
        <v>196</v>
      </c>
      <c r="C318" s="158"/>
      <c r="D318" s="233"/>
      <c r="E318" s="233"/>
      <c r="F318" s="233">
        <f>64.8</f>
        <v>64.8</v>
      </c>
      <c r="G318" s="233"/>
      <c r="H318" s="160"/>
    </row>
    <row r="319" spans="1:8" ht="12.75">
      <c r="A319" s="230"/>
      <c r="B319" s="158" t="s">
        <v>294</v>
      </c>
      <c r="C319" s="158"/>
      <c r="D319" s="233"/>
      <c r="E319" s="233"/>
      <c r="F319" s="233">
        <f>100+100+100+100+120+160+175+80++90+80</f>
        <v>1105</v>
      </c>
      <c r="G319" s="233"/>
      <c r="H319" s="160"/>
    </row>
    <row r="320" spans="1:8" ht="12.75">
      <c r="A320" s="230"/>
      <c r="B320" s="158" t="s">
        <v>281</v>
      </c>
      <c r="C320" s="158"/>
      <c r="D320" s="233"/>
      <c r="E320" s="233"/>
      <c r="F320" s="233">
        <v>200</v>
      </c>
      <c r="G320" s="233"/>
      <c r="H320" s="160"/>
    </row>
    <row r="321" spans="1:8" ht="12.75">
      <c r="A321" s="130"/>
      <c r="B321" s="131"/>
      <c r="C321" s="131"/>
      <c r="D321" s="132"/>
      <c r="E321" s="132"/>
      <c r="F321" s="132"/>
      <c r="G321" s="132"/>
      <c r="H321" s="297"/>
    </row>
    <row r="322" spans="1:8" ht="12.75">
      <c r="A322" s="195">
        <v>9</v>
      </c>
      <c r="B322" s="253" t="s">
        <v>204</v>
      </c>
      <c r="C322" s="196"/>
      <c r="D322" s="198">
        <f>SUM(D323:D336)</f>
        <v>-12402.98</v>
      </c>
      <c r="E322" s="198">
        <f>SUM(E323:E336)</f>
        <v>276444.29000000004</v>
      </c>
      <c r="F322" s="198">
        <f>F323+F328+F334+F336</f>
        <v>266460.29000000004</v>
      </c>
      <c r="G322" s="198">
        <f>SUM(G323:G336)</f>
        <v>-2418.980000000004</v>
      </c>
      <c r="H322" s="199"/>
    </row>
    <row r="323" spans="1:8" ht="12.75">
      <c r="A323" s="235">
        <v>1</v>
      </c>
      <c r="B323" s="258" t="s">
        <v>36</v>
      </c>
      <c r="C323" s="140"/>
      <c r="D323" s="142">
        <v>-12402.98</v>
      </c>
      <c r="E323" s="142">
        <f>4705*12</f>
        <v>56460</v>
      </c>
      <c r="F323" s="142">
        <v>56195.26</v>
      </c>
      <c r="G323" s="142">
        <f>D323+E323+E324-F323</f>
        <v>-7237.8499999999985</v>
      </c>
      <c r="H323" s="249"/>
    </row>
    <row r="324" spans="1:8" ht="12.75">
      <c r="A324" s="235"/>
      <c r="B324" s="258" t="s">
        <v>206</v>
      </c>
      <c r="C324" s="140"/>
      <c r="D324" s="142"/>
      <c r="E324" s="142">
        <v>4900.39</v>
      </c>
      <c r="F324" s="142">
        <f>3139.36+450</f>
        <v>3589.36</v>
      </c>
      <c r="G324" s="142"/>
      <c r="H324" s="249"/>
    </row>
    <row r="325" spans="1:8" ht="12.75">
      <c r="A325" s="235"/>
      <c r="B325" s="259" t="s">
        <v>207</v>
      </c>
      <c r="C325" s="260"/>
      <c r="D325" s="261"/>
      <c r="E325" s="261"/>
      <c r="F325" s="261">
        <f>7823+518+27007.81</f>
        <v>35348.81</v>
      </c>
      <c r="G325" s="142"/>
      <c r="H325" s="249"/>
    </row>
    <row r="326" spans="1:8" ht="12.75">
      <c r="A326" s="235"/>
      <c r="B326" s="259" t="s">
        <v>209</v>
      </c>
      <c r="C326" s="260"/>
      <c r="D326" s="261"/>
      <c r="E326" s="261"/>
      <c r="F326" s="261">
        <v>17257</v>
      </c>
      <c r="G326" s="142"/>
      <c r="H326" s="249"/>
    </row>
    <row r="327" spans="1:8" ht="12.75">
      <c r="A327" s="235"/>
      <c r="B327" s="258"/>
      <c r="C327" s="140"/>
      <c r="D327" s="142"/>
      <c r="E327" s="142"/>
      <c r="F327" s="142"/>
      <c r="G327" s="142"/>
      <c r="H327" s="249"/>
    </row>
    <row r="328" spans="1:8" ht="12.75">
      <c r="A328" s="230">
        <v>2</v>
      </c>
      <c r="B328" s="145" t="s">
        <v>211</v>
      </c>
      <c r="C328" s="145"/>
      <c r="D328" s="147"/>
      <c r="E328" s="147">
        <v>9179.34</v>
      </c>
      <c r="F328" s="147">
        <v>7366.08</v>
      </c>
      <c r="G328" s="147">
        <f>D328+E328-F328</f>
        <v>1813.2600000000002</v>
      </c>
      <c r="H328" s="160"/>
    </row>
    <row r="329" spans="1:8" ht="12.75">
      <c r="A329" s="230"/>
      <c r="B329" s="262" t="s">
        <v>212</v>
      </c>
      <c r="C329" s="145"/>
      <c r="D329" s="147"/>
      <c r="E329" s="147"/>
      <c r="F329" s="159">
        <f>1024+94.13</f>
        <v>1118.13</v>
      </c>
      <c r="G329" s="147"/>
      <c r="H329" s="160"/>
    </row>
    <row r="330" spans="1:8" ht="12.75">
      <c r="A330" s="230"/>
      <c r="B330" s="262" t="s">
        <v>213</v>
      </c>
      <c r="C330" s="145"/>
      <c r="D330" s="147"/>
      <c r="E330" s="147"/>
      <c r="F330" s="159">
        <v>2476.02</v>
      </c>
      <c r="G330" s="147"/>
      <c r="H330" s="160"/>
    </row>
    <row r="331" spans="1:8" ht="12.75">
      <c r="A331" s="230"/>
      <c r="B331" s="262" t="s">
        <v>209</v>
      </c>
      <c r="C331" s="145"/>
      <c r="D331" s="147"/>
      <c r="E331" s="147"/>
      <c r="F331" s="159">
        <v>3635.47</v>
      </c>
      <c r="G331" s="147"/>
      <c r="H331" s="160"/>
    </row>
    <row r="332" spans="1:8" ht="12.75">
      <c r="A332" s="230"/>
      <c r="B332" s="262" t="s">
        <v>210</v>
      </c>
      <c r="C332" s="145"/>
      <c r="D332" s="147"/>
      <c r="E332" s="147"/>
      <c r="F332" s="159">
        <v>136.46</v>
      </c>
      <c r="G332" s="147"/>
      <c r="H332" s="160"/>
    </row>
    <row r="333" spans="1:8" ht="12.75">
      <c r="A333" s="230"/>
      <c r="B333" s="262"/>
      <c r="C333" s="145"/>
      <c r="D333" s="147"/>
      <c r="E333" s="147"/>
      <c r="F333" s="159"/>
      <c r="G333" s="147"/>
      <c r="H333" s="160"/>
    </row>
    <row r="334" spans="1:8" ht="12.75">
      <c r="A334" s="230">
        <v>3</v>
      </c>
      <c r="B334" s="145" t="s">
        <v>214</v>
      </c>
      <c r="C334" s="145"/>
      <c r="D334" s="147"/>
      <c r="E334" s="147">
        <v>3043.84</v>
      </c>
      <c r="F334" s="147">
        <v>2704.63</v>
      </c>
      <c r="G334" s="147">
        <f>D334+E334-F334</f>
        <v>339.21000000000004</v>
      </c>
      <c r="H334" s="160"/>
    </row>
    <row r="335" spans="1:8" ht="12.75">
      <c r="A335" s="230"/>
      <c r="B335" s="145"/>
      <c r="C335" s="145"/>
      <c r="D335" s="147"/>
      <c r="E335" s="147"/>
      <c r="F335" s="147"/>
      <c r="G335" s="147"/>
      <c r="H335" s="160"/>
    </row>
    <row r="336" spans="1:8" ht="12.75">
      <c r="A336" s="230">
        <v>4</v>
      </c>
      <c r="B336" s="145" t="s">
        <v>215</v>
      </c>
      <c r="C336" s="323">
        <f>SUM(C337:C353)</f>
        <v>30569.239999999998</v>
      </c>
      <c r="D336" s="147"/>
      <c r="E336" s="147">
        <f>SUM(E337:E353)</f>
        <v>202860.72</v>
      </c>
      <c r="F336" s="147">
        <v>200194.32</v>
      </c>
      <c r="G336" s="147">
        <f>D336+E336-F336</f>
        <v>2666.399999999994</v>
      </c>
      <c r="H336" s="160"/>
    </row>
    <row r="337" spans="1:8" ht="12.75">
      <c r="A337" s="264" t="s">
        <v>0</v>
      </c>
      <c r="B337" s="262" t="s">
        <v>216</v>
      </c>
      <c r="C337" s="265">
        <v>3402.8</v>
      </c>
      <c r="D337" s="159"/>
      <c r="E337" s="159">
        <f>3402.8*0.6*12</f>
        <v>24500.160000000007</v>
      </c>
      <c r="F337" s="159"/>
      <c r="G337" s="159" t="s">
        <v>0</v>
      </c>
      <c r="H337" s="160"/>
    </row>
    <row r="338" spans="1:8" ht="12.75">
      <c r="A338" s="264" t="s">
        <v>0</v>
      </c>
      <c r="B338" s="262" t="s">
        <v>217</v>
      </c>
      <c r="C338" s="265">
        <v>2424.5</v>
      </c>
      <c r="D338" s="159"/>
      <c r="E338" s="159">
        <f>2424.5*0.6*12</f>
        <v>17456.4</v>
      </c>
      <c r="F338" s="159"/>
      <c r="G338" s="159" t="s">
        <v>0</v>
      </c>
      <c r="H338" s="160"/>
    </row>
    <row r="339" spans="1:8" ht="12.75">
      <c r="A339" s="264" t="s">
        <v>0</v>
      </c>
      <c r="B339" s="262" t="s">
        <v>218</v>
      </c>
      <c r="C339" s="265">
        <v>1928.6</v>
      </c>
      <c r="D339" s="159"/>
      <c r="E339" s="159">
        <f>1928.6*0.6*12</f>
        <v>13885.920000000002</v>
      </c>
      <c r="F339" s="159"/>
      <c r="G339" s="159" t="s">
        <v>0</v>
      </c>
      <c r="H339" s="266"/>
    </row>
    <row r="340" spans="1:8" ht="12.75">
      <c r="A340" s="264" t="s">
        <v>0</v>
      </c>
      <c r="B340" s="262" t="s">
        <v>219</v>
      </c>
      <c r="C340" s="265">
        <v>1637.8</v>
      </c>
      <c r="D340" s="159"/>
      <c r="E340" s="159">
        <f>1637.8*0.6*12</f>
        <v>11792.16</v>
      </c>
      <c r="F340" s="159"/>
      <c r="G340" s="159" t="s">
        <v>0</v>
      </c>
      <c r="H340" s="266"/>
    </row>
    <row r="341" spans="1:8" ht="12.75">
      <c r="A341" s="264" t="s">
        <v>0</v>
      </c>
      <c r="B341" s="262" t="s">
        <v>220</v>
      </c>
      <c r="C341" s="265">
        <v>2129.1</v>
      </c>
      <c r="D341" s="159"/>
      <c r="E341" s="159">
        <f>2129.1*0.6*12</f>
        <v>15329.52</v>
      </c>
      <c r="F341" s="159"/>
      <c r="G341" s="159" t="s">
        <v>0</v>
      </c>
      <c r="H341" s="266"/>
    </row>
    <row r="342" spans="1:8" ht="12.75">
      <c r="A342" s="264" t="s">
        <v>0</v>
      </c>
      <c r="B342" s="262" t="s">
        <v>221</v>
      </c>
      <c r="C342" s="265">
        <v>3370</v>
      </c>
      <c r="D342" s="159"/>
      <c r="E342" s="159">
        <f>3370*0.6*12</f>
        <v>24264.000000000004</v>
      </c>
      <c r="F342" s="159"/>
      <c r="G342" s="159" t="s">
        <v>0</v>
      </c>
      <c r="H342" s="266"/>
    </row>
    <row r="343" spans="1:8" ht="12.75">
      <c r="A343" s="264"/>
      <c r="B343" s="262" t="s">
        <v>222</v>
      </c>
      <c r="C343" s="265">
        <v>2822.5</v>
      </c>
      <c r="D343" s="159"/>
      <c r="E343" s="159">
        <f>2822.5*0.6*12</f>
        <v>20322.000000000004</v>
      </c>
      <c r="F343" s="159"/>
      <c r="G343" s="159"/>
      <c r="H343" s="266"/>
    </row>
    <row r="344" spans="1:8" ht="12.75">
      <c r="A344" s="264"/>
      <c r="B344" s="262" t="s">
        <v>223</v>
      </c>
      <c r="C344" s="265">
        <v>477</v>
      </c>
      <c r="D344" s="159"/>
      <c r="E344" s="159">
        <f>477*0.5*12</f>
        <v>2862</v>
      </c>
      <c r="F344" s="159"/>
      <c r="G344" s="159"/>
      <c r="H344" s="266"/>
    </row>
    <row r="345" spans="1:8" ht="12.75">
      <c r="A345" s="264"/>
      <c r="B345" s="262" t="s">
        <v>224</v>
      </c>
      <c r="C345" s="265">
        <v>637.4</v>
      </c>
      <c r="D345" s="159"/>
      <c r="E345" s="159">
        <f>673.4*0.5*12</f>
        <v>4040.3999999999996</v>
      </c>
      <c r="F345" s="159"/>
      <c r="G345" s="159"/>
      <c r="H345" s="266"/>
    </row>
    <row r="346" spans="1:8" ht="12.75">
      <c r="A346" s="264"/>
      <c r="B346" s="262" t="s">
        <v>225</v>
      </c>
      <c r="C346" s="262">
        <v>982.66</v>
      </c>
      <c r="D346" s="159"/>
      <c r="E346" s="159">
        <f>982.66*0.5*12</f>
        <v>5895.96</v>
      </c>
      <c r="F346" s="159"/>
      <c r="G346" s="159"/>
      <c r="H346" s="266"/>
    </row>
    <row r="347" spans="1:8" ht="12.75">
      <c r="A347" s="264"/>
      <c r="B347" s="262" t="s">
        <v>226</v>
      </c>
      <c r="C347" s="262">
        <v>877.62</v>
      </c>
      <c r="D347" s="159"/>
      <c r="E347" s="159">
        <f>877.62*0.5*12</f>
        <v>5265.72</v>
      </c>
      <c r="F347" s="159"/>
      <c r="G347" s="159"/>
      <c r="H347" s="266"/>
    </row>
    <row r="348" spans="1:8" ht="12.75">
      <c r="A348" s="264"/>
      <c r="B348" s="262" t="s">
        <v>227</v>
      </c>
      <c r="C348" s="262">
        <v>905.3</v>
      </c>
      <c r="D348" s="159"/>
      <c r="E348" s="159">
        <f>905.3*0.6*12</f>
        <v>6518.160000000001</v>
      </c>
      <c r="F348" s="159"/>
      <c r="G348" s="159"/>
      <c r="H348" s="266"/>
    </row>
    <row r="349" spans="1:8" ht="12.75">
      <c r="A349" s="264"/>
      <c r="B349" s="262" t="s">
        <v>228</v>
      </c>
      <c r="C349" s="262">
        <v>1004.6</v>
      </c>
      <c r="D349" s="159"/>
      <c r="E349" s="159">
        <f>1004.6*0.6*12</f>
        <v>7233.120000000001</v>
      </c>
      <c r="F349" s="159"/>
      <c r="G349" s="159"/>
      <c r="H349" s="266"/>
    </row>
    <row r="350" spans="1:8" ht="12.75">
      <c r="A350" s="267"/>
      <c r="B350" s="268" t="s">
        <v>229</v>
      </c>
      <c r="C350" s="268">
        <v>2195.9</v>
      </c>
      <c r="D350" s="269"/>
      <c r="E350" s="269">
        <f>2195.9*0.55*12+0.06</f>
        <v>14493.000000000002</v>
      </c>
      <c r="F350" s="269"/>
      <c r="G350" s="269"/>
      <c r="H350" s="266"/>
    </row>
    <row r="351" spans="1:8" ht="12.75">
      <c r="A351" s="264"/>
      <c r="B351" s="262" t="s">
        <v>230</v>
      </c>
      <c r="C351" s="262">
        <v>1967.2</v>
      </c>
      <c r="D351" s="159"/>
      <c r="E351" s="159">
        <f>1967.2*0.6*12</f>
        <v>14163.840000000002</v>
      </c>
      <c r="F351" s="159"/>
      <c r="G351" s="159"/>
      <c r="H351" s="266"/>
    </row>
    <row r="352" spans="1:8" ht="12.75">
      <c r="A352" s="264"/>
      <c r="B352" s="262" t="s">
        <v>295</v>
      </c>
      <c r="C352" s="262">
        <v>2028.66</v>
      </c>
      <c r="D352" s="159"/>
      <c r="E352" s="159">
        <f>2028.66*0.5*12</f>
        <v>12171.960000000001</v>
      </c>
      <c r="F352" s="159"/>
      <c r="G352" s="269"/>
      <c r="H352" s="266"/>
    </row>
    <row r="353" spans="1:8" ht="12.75">
      <c r="A353" s="264"/>
      <c r="B353" s="262" t="s">
        <v>232</v>
      </c>
      <c r="C353" s="262">
        <v>1777.6</v>
      </c>
      <c r="D353" s="159"/>
      <c r="E353" s="159">
        <f>1777.6*0.5*3</f>
        <v>2666.3999999999996</v>
      </c>
      <c r="F353" s="159"/>
      <c r="G353" s="269"/>
      <c r="H353" s="266"/>
    </row>
    <row r="354" spans="1:8" ht="12.75">
      <c r="A354" s="264"/>
      <c r="B354" s="262" t="s">
        <v>233</v>
      </c>
      <c r="C354" s="262"/>
      <c r="D354" s="159"/>
      <c r="E354" s="159"/>
      <c r="F354" s="159">
        <f>12469.37+12469.37+12659.2+12415.6+12659.2+12659.2+12659.2+12659.2+12659.2+12659.2+12659.2+12415.6+2000</f>
        <v>153043.54</v>
      </c>
      <c r="G354" s="269"/>
      <c r="H354" s="266"/>
    </row>
    <row r="355" spans="1:8" ht="12.75">
      <c r="A355" s="264"/>
      <c r="B355" s="262" t="s">
        <v>234</v>
      </c>
      <c r="C355" s="262"/>
      <c r="D355" s="159"/>
      <c r="E355" s="159"/>
      <c r="F355" s="159">
        <f>2235.58+2759.33+2592.6+2462.37+2625.52+2625.52+2625.52+2625.52+2625.52+2625.52+2625.52</f>
        <v>28428.520000000004</v>
      </c>
      <c r="G355" s="269"/>
      <c r="H355" s="266"/>
    </row>
    <row r="356" spans="1:8" ht="12.75">
      <c r="A356" s="264"/>
      <c r="B356" s="262" t="s">
        <v>235</v>
      </c>
      <c r="C356" s="262"/>
      <c r="D356" s="159"/>
      <c r="E356" s="159"/>
      <c r="F356" s="159">
        <f>3351.75+732</f>
        <v>4083.75</v>
      </c>
      <c r="G356" s="269"/>
      <c r="H356" s="266"/>
    </row>
    <row r="357" spans="1:8" ht="12.75">
      <c r="A357" s="264"/>
      <c r="B357" s="262" t="s">
        <v>236</v>
      </c>
      <c r="C357" s="262"/>
      <c r="D357" s="159"/>
      <c r="E357" s="159"/>
      <c r="F357" s="159">
        <f>49.25+36.3+19.1+53+922.5+30.85+53.9+19.55+20.95+691.87+26.55+26.55+26.55</f>
        <v>1976.9199999999998</v>
      </c>
      <c r="G357" s="269"/>
      <c r="H357" s="266"/>
    </row>
    <row r="358" spans="1:8" ht="12.75">
      <c r="A358" s="264"/>
      <c r="B358" s="262" t="s">
        <v>209</v>
      </c>
      <c r="C358" s="262"/>
      <c r="D358" s="159"/>
      <c r="E358" s="159"/>
      <c r="F358" s="159">
        <f>1295.99+1465.05+1411.28+1491.12+729.18+1584.36+1314.54+2422.78+947.29</f>
        <v>12661.59</v>
      </c>
      <c r="G358" s="269"/>
      <c r="H358" s="266"/>
    </row>
    <row r="359" spans="1:8" ht="12.75">
      <c r="A359" s="270"/>
      <c r="B359" s="271"/>
      <c r="C359" s="191"/>
      <c r="D359" s="242"/>
      <c r="E359" s="54"/>
      <c r="F359" s="242"/>
      <c r="G359" s="193"/>
      <c r="H359" s="243"/>
    </row>
    <row r="360" spans="1:8" ht="12.75">
      <c r="A360" s="272">
        <v>10</v>
      </c>
      <c r="B360" s="273" t="s">
        <v>237</v>
      </c>
      <c r="C360" s="201"/>
      <c r="D360" s="198">
        <f>SUM(D361:D367)</f>
        <v>4648.05</v>
      </c>
      <c r="E360" s="198">
        <f>SUM(E361:E368)</f>
        <v>1922.3999999999999</v>
      </c>
      <c r="F360" s="198">
        <f>SUM(F361:F368)</f>
        <v>5526.38</v>
      </c>
      <c r="G360" s="198">
        <f>SUM(G361:G368)</f>
        <v>1044.0699999999997</v>
      </c>
      <c r="H360" s="199"/>
    </row>
    <row r="361" spans="1:8" ht="12.75">
      <c r="A361" s="274"/>
      <c r="B361" s="275"/>
      <c r="C361" s="276"/>
      <c r="D361" s="277"/>
      <c r="E361" s="277"/>
      <c r="F361" s="278"/>
      <c r="G361" s="277"/>
      <c r="H361" s="279"/>
    </row>
    <row r="362" spans="1:8" ht="12.75">
      <c r="A362" s="264"/>
      <c r="B362" s="146" t="s">
        <v>238</v>
      </c>
      <c r="C362" s="145"/>
      <c r="D362" s="147">
        <v>4648.05</v>
      </c>
      <c r="E362" s="147"/>
      <c r="F362" s="147">
        <v>1566.18</v>
      </c>
      <c r="G362" s="147">
        <f>D362+D363+E362-F362</f>
        <v>3081.87</v>
      </c>
      <c r="H362" s="280"/>
    </row>
    <row r="363" spans="1:8" ht="12.75">
      <c r="A363" s="264"/>
      <c r="B363" s="146"/>
      <c r="C363" s="145"/>
      <c r="D363" s="147"/>
      <c r="E363" s="147"/>
      <c r="F363" s="147"/>
      <c r="G363" s="147"/>
      <c r="H363" s="280"/>
    </row>
    <row r="364" spans="1:8" ht="12.75">
      <c r="A364" s="264" t="s">
        <v>0</v>
      </c>
      <c r="B364" s="146" t="s">
        <v>239</v>
      </c>
      <c r="C364" s="145"/>
      <c r="D364" s="147"/>
      <c r="E364" s="147">
        <v>1922.3</v>
      </c>
      <c r="F364" s="147"/>
      <c r="G364" s="147">
        <f>D364+E364-F364</f>
        <v>1922.3</v>
      </c>
      <c r="H364" s="280"/>
    </row>
    <row r="365" spans="1:8" ht="12.75">
      <c r="A365" s="264"/>
      <c r="B365" s="146" t="s">
        <v>240</v>
      </c>
      <c r="C365" s="145"/>
      <c r="D365" s="147"/>
      <c r="E365" s="147"/>
      <c r="F365" s="147">
        <v>153.2</v>
      </c>
      <c r="G365" s="147">
        <f>D365+E365-F365</f>
        <v>-153.2</v>
      </c>
      <c r="H365" s="280"/>
    </row>
    <row r="366" spans="1:8" ht="12.75">
      <c r="A366" s="264" t="s">
        <v>0</v>
      </c>
      <c r="B366" s="281" t="s">
        <v>241</v>
      </c>
      <c r="C366" s="145"/>
      <c r="D366" s="147"/>
      <c r="E366" s="147"/>
      <c r="F366" s="147">
        <v>3598</v>
      </c>
      <c r="G366" s="147">
        <f>D366+E366-F366</f>
        <v>-3598</v>
      </c>
      <c r="H366" s="280"/>
    </row>
    <row r="367" spans="1:8" ht="12.75">
      <c r="A367" s="157"/>
      <c r="B367" s="281" t="s">
        <v>249</v>
      </c>
      <c r="C367" s="145"/>
      <c r="D367" s="147"/>
      <c r="E367" s="147"/>
      <c r="F367" s="147">
        <v>209</v>
      </c>
      <c r="G367" s="147">
        <f>D367+E367-F367</f>
        <v>-209</v>
      </c>
      <c r="H367" s="280"/>
    </row>
    <row r="368" spans="1:8" ht="12.75">
      <c r="A368" s="157"/>
      <c r="B368" s="281" t="s">
        <v>296</v>
      </c>
      <c r="C368" s="145"/>
      <c r="D368" s="147"/>
      <c r="E368" s="147">
        <v>0.1</v>
      </c>
      <c r="F368" s="147"/>
      <c r="G368" s="147">
        <f>D368+E368-F368</f>
        <v>0.1</v>
      </c>
      <c r="H368" s="280"/>
    </row>
    <row r="369" spans="1:8" ht="12.75">
      <c r="A369" s="157"/>
      <c r="B369" s="281"/>
      <c r="C369" s="145"/>
      <c r="D369" s="147"/>
      <c r="E369" s="147"/>
      <c r="F369" s="147"/>
      <c r="G369" s="147"/>
      <c r="H369" s="280"/>
    </row>
    <row r="370" spans="1:8" ht="12.75">
      <c r="A370" s="157"/>
      <c r="B370" s="281"/>
      <c r="C370" s="145"/>
      <c r="D370" s="147"/>
      <c r="E370" s="147"/>
      <c r="F370" s="147"/>
      <c r="G370" s="147"/>
      <c r="H370" s="280"/>
    </row>
    <row r="371" spans="1:8" ht="12.75">
      <c r="A371" s="157"/>
      <c r="B371" s="281"/>
      <c r="C371" s="145"/>
      <c r="D371" s="147"/>
      <c r="E371" s="147"/>
      <c r="F371" s="147"/>
      <c r="G371" s="147"/>
      <c r="H371" s="280"/>
    </row>
    <row r="372" spans="1:8" ht="12.75">
      <c r="A372" s="127" t="s">
        <v>8</v>
      </c>
      <c r="B372" s="128" t="s">
        <v>136</v>
      </c>
      <c r="C372" s="128"/>
      <c r="D372" s="128" t="s">
        <v>137</v>
      </c>
      <c r="E372" s="128" t="s">
        <v>138</v>
      </c>
      <c r="F372" s="128" t="s">
        <v>22</v>
      </c>
      <c r="G372" s="128" t="s">
        <v>139</v>
      </c>
      <c r="H372" s="296" t="s">
        <v>140</v>
      </c>
    </row>
    <row r="373" spans="1:8" ht="12.75">
      <c r="A373" s="130"/>
      <c r="B373" s="131"/>
      <c r="C373" s="131"/>
      <c r="D373" s="132" t="s">
        <v>265</v>
      </c>
      <c r="E373" s="132">
        <v>2012</v>
      </c>
      <c r="F373" s="132">
        <v>2012</v>
      </c>
      <c r="G373" s="132"/>
      <c r="H373" s="297" t="s">
        <v>142</v>
      </c>
    </row>
    <row r="374" spans="1:8" ht="12.75">
      <c r="A374" s="283">
        <v>11</v>
      </c>
      <c r="B374" s="196" t="s">
        <v>245</v>
      </c>
      <c r="C374" s="196"/>
      <c r="D374" s="198">
        <f>D273+D277+D286+D322+D360</f>
        <v>144881.27999999997</v>
      </c>
      <c r="E374" s="198">
        <f>E273+E277+E286+E322+E360</f>
        <v>1127320.48</v>
      </c>
      <c r="F374" s="198">
        <f>F273+F277+F286+F322+F360</f>
        <v>1252005.7199999997</v>
      </c>
      <c r="G374" s="198">
        <f>G273+G277+G286+G322+G360</f>
        <v>20196.039999999986</v>
      </c>
      <c r="H374" s="199"/>
    </row>
    <row r="375" spans="1:8" ht="12.75">
      <c r="A375" s="284"/>
      <c r="B375" s="171" t="s">
        <v>246</v>
      </c>
      <c r="C375" s="171"/>
      <c r="D375" s="173"/>
      <c r="E375" s="173"/>
      <c r="F375" s="173"/>
      <c r="G375" s="173"/>
      <c r="H375" s="188"/>
    </row>
    <row r="376" spans="1:8" ht="12.75">
      <c r="A376" s="285"/>
      <c r="B376" s="145" t="s">
        <v>178</v>
      </c>
      <c r="C376" s="145"/>
      <c r="D376" s="147"/>
      <c r="E376" s="147"/>
      <c r="F376" s="147"/>
      <c r="G376" s="147">
        <f>G286</f>
        <v>65696.26999999997</v>
      </c>
      <c r="H376" s="160"/>
    </row>
    <row r="377" spans="1:8" ht="12.75">
      <c r="A377" s="285"/>
      <c r="B377" s="145" t="s">
        <v>297</v>
      </c>
      <c r="C377" s="145"/>
      <c r="D377" s="147"/>
      <c r="E377" s="147"/>
      <c r="F377" s="147"/>
      <c r="G377" s="147">
        <f>G328+G334+G364+G368</f>
        <v>4074.8700000000003</v>
      </c>
      <c r="H377" s="160"/>
    </row>
    <row r="378" spans="1:8" ht="12.75">
      <c r="A378" s="285"/>
      <c r="B378" s="145" t="s">
        <v>298</v>
      </c>
      <c r="C378" s="145"/>
      <c r="D378" s="147"/>
      <c r="E378" s="147"/>
      <c r="F378" s="147"/>
      <c r="G378" s="147">
        <f>G362+G366</f>
        <v>-516.1300000000001</v>
      </c>
      <c r="H378" s="160"/>
    </row>
    <row r="379" spans="1:8" ht="12.75">
      <c r="A379" s="285"/>
      <c r="B379" s="145" t="s">
        <v>249</v>
      </c>
      <c r="C379" s="145"/>
      <c r="D379" s="147"/>
      <c r="E379" s="147"/>
      <c r="F379" s="147"/>
      <c r="G379" s="147">
        <f>G365+G367</f>
        <v>-362.2</v>
      </c>
      <c r="H379" s="160"/>
    </row>
    <row r="380" spans="1:8" ht="12.75">
      <c r="A380" s="285"/>
      <c r="B380" s="145" t="s">
        <v>250</v>
      </c>
      <c r="C380" s="145"/>
      <c r="D380" s="147"/>
      <c r="E380" s="147"/>
      <c r="F380" s="147"/>
      <c r="G380" s="147">
        <f>G240+G248+G258+G262+G264+G266+G278+G279</f>
        <v>18079.59000000001</v>
      </c>
      <c r="H380" s="160"/>
    </row>
    <row r="381" spans="1:8" ht="12.75">
      <c r="A381" s="285"/>
      <c r="B381" s="324" t="s">
        <v>299</v>
      </c>
      <c r="C381" s="145"/>
      <c r="D381" s="147"/>
      <c r="E381" s="147"/>
      <c r="F381" s="147"/>
      <c r="G381" s="147">
        <f>G254</f>
        <v>-37578.520000000004</v>
      </c>
      <c r="H381" s="160"/>
    </row>
    <row r="382" spans="1:8" ht="12.75">
      <c r="A382" s="208"/>
      <c r="B382" s="175" t="s">
        <v>252</v>
      </c>
      <c r="C382" s="145"/>
      <c r="D382" s="147"/>
      <c r="E382" s="147"/>
      <c r="F382" s="147"/>
      <c r="G382" s="147">
        <f>G244+G257+G259+G263+G271+G281+G283+G284+G323</f>
        <v>-31864.239999999987</v>
      </c>
      <c r="H382" s="160"/>
    </row>
    <row r="383" spans="1:8" ht="12.75">
      <c r="A383" s="208"/>
      <c r="B383" s="175"/>
      <c r="C383" s="145"/>
      <c r="D383" s="147"/>
      <c r="E383" s="147"/>
      <c r="F383" s="147"/>
      <c r="G383" s="147"/>
      <c r="H383" s="160"/>
    </row>
    <row r="384" spans="1:8" ht="12.75">
      <c r="A384" s="244">
        <v>12</v>
      </c>
      <c r="B384" s="136" t="s">
        <v>253</v>
      </c>
      <c r="C384" s="136"/>
      <c r="D384" s="150"/>
      <c r="E384" s="150" t="s">
        <v>0</v>
      </c>
      <c r="F384" s="150" t="s">
        <v>0</v>
      </c>
      <c r="G384" s="150">
        <v>922</v>
      </c>
      <c r="H384" s="151"/>
    </row>
    <row r="385" spans="1:8" ht="12.75">
      <c r="A385" s="208"/>
      <c r="B385" s="175"/>
      <c r="C385" s="145"/>
      <c r="D385" s="147"/>
      <c r="E385" s="147"/>
      <c r="F385" s="147"/>
      <c r="G385" s="147"/>
      <c r="H385" s="160"/>
    </row>
    <row r="386" spans="1:8" ht="12.75">
      <c r="A386" s="244">
        <v>13</v>
      </c>
      <c r="B386" s="136" t="s">
        <v>254</v>
      </c>
      <c r="C386" s="136"/>
      <c r="D386" s="150">
        <f>SUM(D387:D393)</f>
        <v>7843.61</v>
      </c>
      <c r="E386" s="150">
        <f>SUM(E387:E393)</f>
        <v>469437.12</v>
      </c>
      <c r="F386" s="150">
        <f>SUM(F387:F393)</f>
        <v>464375.1</v>
      </c>
      <c r="G386" s="150">
        <f>SUM(G387:G393)</f>
        <v>12905.62999999999</v>
      </c>
      <c r="H386" s="151"/>
    </row>
    <row r="387" spans="1:8" ht="12.75">
      <c r="A387" s="264"/>
      <c r="B387" s="286" t="s">
        <v>255</v>
      </c>
      <c r="C387" s="145"/>
      <c r="D387" s="147"/>
      <c r="E387" s="147">
        <v>156008.64</v>
      </c>
      <c r="F387" s="147">
        <v>156008.64</v>
      </c>
      <c r="G387" s="147"/>
      <c r="H387" s="280"/>
    </row>
    <row r="388" spans="1:8" ht="12.75">
      <c r="A388" s="264"/>
      <c r="B388" s="286" t="s">
        <v>300</v>
      </c>
      <c r="C388" s="145"/>
      <c r="D388" s="147"/>
      <c r="E388" s="147">
        <v>88803.12</v>
      </c>
      <c r="F388" s="147">
        <v>88803.12</v>
      </c>
      <c r="G388" s="147"/>
      <c r="H388" s="280"/>
    </row>
    <row r="389" spans="1:8" ht="12.75">
      <c r="A389" s="264"/>
      <c r="B389" s="286"/>
      <c r="C389" s="145"/>
      <c r="D389" s="147"/>
      <c r="E389" s="147"/>
      <c r="F389" s="147"/>
      <c r="G389" s="147"/>
      <c r="H389" s="280"/>
    </row>
    <row r="390" spans="1:8" ht="12.75">
      <c r="A390" s="264"/>
      <c r="B390" s="286" t="s">
        <v>256</v>
      </c>
      <c r="C390" s="145"/>
      <c r="D390" s="147">
        <v>3753.18</v>
      </c>
      <c r="E390" s="147">
        <v>66245.76</v>
      </c>
      <c r="F390" s="147">
        <v>64874.97</v>
      </c>
      <c r="G390" s="147">
        <f>D390+E390+E391-F390</f>
        <v>5123.969999999987</v>
      </c>
      <c r="H390" s="280"/>
    </row>
    <row r="391" spans="1:8" ht="12.75">
      <c r="A391" s="264"/>
      <c r="B391" s="286"/>
      <c r="C391" s="145"/>
      <c r="D391" s="147"/>
      <c r="E391" s="147"/>
      <c r="F391" s="147"/>
      <c r="G391" s="147"/>
      <c r="H391" s="280"/>
    </row>
    <row r="392" spans="1:8" ht="12.75">
      <c r="A392" s="264"/>
      <c r="B392" s="286" t="s">
        <v>4</v>
      </c>
      <c r="C392" s="145"/>
      <c r="D392" s="147">
        <v>4090.43</v>
      </c>
      <c r="E392" s="147">
        <v>158379.6</v>
      </c>
      <c r="F392" s="147">
        <v>154688.37</v>
      </c>
      <c r="G392" s="147">
        <f>D392+E392+E393-F392</f>
        <v>7781.6600000000035</v>
      </c>
      <c r="H392" s="280"/>
    </row>
    <row r="393" spans="1:8" ht="12.75">
      <c r="A393" s="130"/>
      <c r="B393" s="325"/>
      <c r="C393" s="131"/>
      <c r="D393" s="165"/>
      <c r="E393" s="165"/>
      <c r="F393" s="165"/>
      <c r="G393" s="165"/>
      <c r="H393" s="326"/>
    </row>
    <row r="394" spans="1:8" ht="12.75">
      <c r="A394" s="327">
        <v>13</v>
      </c>
      <c r="B394" s="291" t="s">
        <v>258</v>
      </c>
      <c r="C394" s="292"/>
      <c r="D394" s="293">
        <f>D374+D386-D384</f>
        <v>152724.88999999996</v>
      </c>
      <c r="E394" s="293">
        <f>E374+E386</f>
        <v>1596757.6</v>
      </c>
      <c r="F394" s="293">
        <f>F374+F386</f>
        <v>1716380.8199999998</v>
      </c>
      <c r="G394" s="293">
        <f>G374+G386-G384</f>
        <v>32179.669999999976</v>
      </c>
      <c r="H394" s="294"/>
    </row>
    <row r="395" spans="2:7" ht="12.75">
      <c r="B395" t="s">
        <v>259</v>
      </c>
      <c r="D395" s="123">
        <v>4074.87</v>
      </c>
      <c r="E395" s="123"/>
      <c r="G395" s="123">
        <f>D394+E394-F394-G384</f>
        <v>32179.67000000016</v>
      </c>
    </row>
    <row r="396" spans="2:5" ht="12.75">
      <c r="B396" t="s">
        <v>301</v>
      </c>
      <c r="C396" s="295"/>
      <c r="D396" s="123">
        <f>167.91+920+300</f>
        <v>1387.91</v>
      </c>
      <c r="E396" s="23"/>
    </row>
    <row r="397" spans="2:5" ht="12.75">
      <c r="B397" t="s">
        <v>302</v>
      </c>
      <c r="D397" s="123">
        <f>322.7+1840</f>
        <v>2162.7</v>
      </c>
      <c r="E397" s="23"/>
    </row>
    <row r="398" spans="2:5" ht="12.75">
      <c r="B398" t="s">
        <v>303</v>
      </c>
      <c r="D398" s="123"/>
      <c r="E398" s="23"/>
    </row>
    <row r="399" spans="2:7" ht="12.75">
      <c r="B399" t="s">
        <v>260</v>
      </c>
      <c r="D399" s="123">
        <f>D395-D396+D397+D398+0.34</f>
        <v>4850</v>
      </c>
      <c r="E399" s="123"/>
      <c r="G399" s="124" t="s">
        <v>261</v>
      </c>
    </row>
    <row r="400" spans="2:7" ht="12.75">
      <c r="B400" t="s">
        <v>253</v>
      </c>
      <c r="D400" s="123">
        <f>D399*0.19</f>
        <v>921.5</v>
      </c>
      <c r="E400" s="123"/>
      <c r="G400" s="124" t="s">
        <v>304</v>
      </c>
    </row>
  </sheetData>
  <sheetProtection selectLockedCells="1" selectUnlockedCells="1"/>
  <printOptions/>
  <pageMargins left="0.9840277777777777" right="0.7875" top="0.7875" bottom="0.7875" header="0.5118055555555555" footer="0.5118055555555555"/>
  <pageSetup horizontalDpi="300" verticalDpi="3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Różanek</dc:creator>
  <cp:keywords/>
  <dc:description/>
  <cp:lastModifiedBy>Urszula Różanek</cp:lastModifiedBy>
  <cp:lastPrinted>2014-05-19T08:36:47Z</cp:lastPrinted>
  <dcterms:created xsi:type="dcterms:W3CDTF">2010-04-07T06:18:54Z</dcterms:created>
  <dcterms:modified xsi:type="dcterms:W3CDTF">2014-05-19T11:43:38Z</dcterms:modified>
  <cp:category/>
  <cp:version/>
  <cp:contentType/>
  <cp:contentStatus/>
  <cp:revision>185</cp:revision>
</cp:coreProperties>
</file>